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wmf" ContentType="image/x-w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/>
  <workbookPr backupFile="1"/>
  <mc:AlternateContent xmlns:mc="http://schemas.openxmlformats.org/markup-compatibility/2006">
    <mc:Choice Requires="x15">
      <x15ac:absPath xmlns:x15ac="http://schemas.microsoft.com/office/spreadsheetml/2010/11/ac" url="/Users/matthiasbarth/Desktop/Vorlesung 2017/"/>
    </mc:Choice>
  </mc:AlternateContent>
  <bookViews>
    <workbookView xWindow="0" yWindow="440" windowWidth="21220" windowHeight="13620" activeTab="8"/>
  </bookViews>
  <sheets>
    <sheet name="EING" sheetId="12" r:id="rId1"/>
    <sheet name="sx" sheetId="10" r:id="rId2"/>
    <sheet name="Kx" sheetId="11" r:id="rId3"/>
    <sheet name="Bx" sheetId="4" r:id="rId4"/>
    <sheet name="BtrgAuftelung" sheetId="9" r:id="rId5"/>
    <sheet name="AR" sheetId="6" r:id="rId6"/>
    <sheet name="wx_AR" sheetId="13" r:id="rId7"/>
    <sheet name="AF" sheetId="8" r:id="rId8"/>
    <sheet name="TÄ" sheetId="7" r:id="rId9"/>
  </sheets>
  <definedNames>
    <definedName name="absSB">#REF!</definedName>
    <definedName name="B_Gamma">Bx!$AF$10:$AF$14</definedName>
    <definedName name="B_js">EING!$E$10:$E$14</definedName>
    <definedName name="B_Kopfschaeden">Kx!$BC$10:$BC$14</definedName>
    <definedName name="beobW">EING!$C$21</definedName>
    <definedName name="beobW_">EING!$D$21</definedName>
    <definedName name="Durchschnitt">#REF!</definedName>
    <definedName name="EB">#REF!</definedName>
    <definedName name="effW">EING!$C$22</definedName>
    <definedName name="effW_">EING!$D$22</definedName>
    <definedName name="FEHLER">EING!$C$30</definedName>
    <definedName name="iO">EING!$C$29</definedName>
    <definedName name="LEER">EING!$C$28</definedName>
    <definedName name="neu">#REF!</definedName>
    <definedName name="prozSB">#REF!</definedName>
    <definedName name="RB">#REF!</definedName>
    <definedName name="rmW">EING!$C$23</definedName>
    <definedName name="rmW_">EING!$D$23</definedName>
    <definedName name="SB">#REF!</definedName>
    <definedName name="SBErh">#REF!</definedName>
    <definedName name="SBGrenze">#REF!</definedName>
    <definedName name="subjred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calcChain.xml><?xml version="1.0" encoding="utf-8"?>
<calcChain xmlns="http://schemas.openxmlformats.org/spreadsheetml/2006/main">
  <c r="I6" i="8" l="1"/>
  <c r="B11" i="12"/>
  <c r="B12" i="12"/>
  <c r="B13" i="12"/>
  <c r="B14" i="12"/>
  <c r="E24" i="8"/>
  <c r="E23" i="8"/>
  <c r="E22" i="8"/>
  <c r="E21" i="8"/>
  <c r="E20" i="8"/>
  <c r="E14" i="8"/>
  <c r="W16" i="11"/>
  <c r="AF25" i="11"/>
  <c r="AG25" i="11"/>
  <c r="Z16" i="11"/>
  <c r="AF26" i="11"/>
  <c r="AG26" i="11"/>
  <c r="AC16" i="11"/>
  <c r="AF27" i="11"/>
  <c r="AG27" i="11"/>
  <c r="AG30" i="11"/>
  <c r="AG7" i="11"/>
  <c r="AG10" i="11"/>
  <c r="AG11" i="11"/>
  <c r="H14" i="11"/>
  <c r="I14" i="11"/>
  <c r="J14" i="11"/>
  <c r="K14" i="11"/>
  <c r="L14" i="11"/>
  <c r="M14" i="11"/>
  <c r="N14" i="11"/>
  <c r="O14" i="11"/>
  <c r="P14" i="11"/>
  <c r="Q14" i="11"/>
  <c r="G15" i="11"/>
  <c r="AF12" i="11"/>
  <c r="AG12" i="11"/>
  <c r="AG13" i="11"/>
  <c r="AG14" i="11"/>
  <c r="H12" i="8"/>
  <c r="H9" i="8"/>
  <c r="G12" i="8"/>
  <c r="G9" i="8"/>
  <c r="F12" i="8"/>
  <c r="F9" i="8"/>
  <c r="AD17" i="11"/>
  <c r="AA17" i="11"/>
  <c r="X17" i="11"/>
  <c r="AH14" i="11"/>
  <c r="H19" i="8"/>
  <c r="AH13" i="11"/>
  <c r="H18" i="8"/>
  <c r="AH12" i="11"/>
  <c r="H17" i="8"/>
  <c r="AH11" i="11"/>
  <c r="H16" i="8"/>
  <c r="AH10" i="11"/>
  <c r="H15" i="8"/>
  <c r="G19" i="8"/>
  <c r="G18" i="8"/>
  <c r="G17" i="8"/>
  <c r="G16" i="8"/>
  <c r="G15" i="8"/>
  <c r="F19" i="8"/>
  <c r="F18" i="8"/>
  <c r="F17" i="8"/>
  <c r="F16" i="8"/>
  <c r="F15" i="8"/>
  <c r="AS9" i="7"/>
  <c r="AS25" i="7"/>
  <c r="AE2" i="7"/>
  <c r="C3" i="7"/>
  <c r="C2" i="7"/>
  <c r="K17" i="7"/>
  <c r="F8" i="13"/>
  <c r="K33" i="13"/>
  <c r="AK25" i="13"/>
  <c r="X25" i="13"/>
  <c r="O25" i="13"/>
  <c r="W9" i="13"/>
  <c r="N9" i="13"/>
  <c r="A33" i="13"/>
  <c r="C10" i="10"/>
  <c r="C14" i="10"/>
  <c r="I3" i="10"/>
  <c r="I10" i="10"/>
  <c r="K3" i="10"/>
  <c r="K10" i="10"/>
  <c r="M3" i="10"/>
  <c r="M10" i="10"/>
  <c r="B75" i="13"/>
  <c r="AJ8" i="13"/>
  <c r="BB3" i="13"/>
  <c r="BF3" i="13"/>
  <c r="B82" i="13"/>
  <c r="L14" i="10"/>
  <c r="B87" i="13"/>
  <c r="C13" i="10"/>
  <c r="H13" i="10"/>
  <c r="H12" i="10"/>
  <c r="H11" i="10"/>
  <c r="H10" i="10"/>
  <c r="J10" i="10"/>
  <c r="J11" i="10"/>
  <c r="J12" i="10"/>
  <c r="J13" i="10"/>
  <c r="L13" i="10"/>
  <c r="B86" i="13"/>
  <c r="C12" i="10"/>
  <c r="L12" i="10"/>
  <c r="B85" i="13"/>
  <c r="C85" i="13"/>
  <c r="C11" i="10"/>
  <c r="L11" i="10"/>
  <c r="B84" i="13"/>
  <c r="C84" i="13"/>
  <c r="I11" i="10"/>
  <c r="K11" i="10"/>
  <c r="M11" i="10"/>
  <c r="B76" i="13"/>
  <c r="C76" i="13"/>
  <c r="L10" i="10"/>
  <c r="B83" i="13"/>
  <c r="C83" i="13"/>
  <c r="C75" i="13"/>
  <c r="B74" i="13"/>
  <c r="M14" i="10"/>
  <c r="B79" i="13"/>
  <c r="I13" i="10"/>
  <c r="I12" i="10"/>
  <c r="K12" i="10"/>
  <c r="K13" i="10"/>
  <c r="M13" i="10"/>
  <c r="B78" i="13"/>
  <c r="M12" i="10"/>
  <c r="B77" i="13"/>
  <c r="A75" i="13"/>
  <c r="AC33" i="13"/>
  <c r="O32" i="13"/>
  <c r="X32" i="13"/>
  <c r="T33" i="13"/>
  <c r="E76" i="13"/>
  <c r="E77" i="13"/>
  <c r="E84" i="13"/>
  <c r="E85" i="13"/>
  <c r="E86" i="13"/>
  <c r="E87" i="13"/>
  <c r="D84" i="13"/>
  <c r="D85" i="13"/>
  <c r="D86" i="13"/>
  <c r="D87" i="13"/>
  <c r="D76" i="13"/>
  <c r="A87" i="13"/>
  <c r="A86" i="13"/>
  <c r="A85" i="13"/>
  <c r="A84" i="13"/>
  <c r="H84" i="13"/>
  <c r="A83" i="13"/>
  <c r="I83" i="13"/>
  <c r="C87" i="13"/>
  <c r="C86" i="13"/>
  <c r="A79" i="13"/>
  <c r="A78" i="13"/>
  <c r="J78" i="13"/>
  <c r="A77" i="13"/>
  <c r="J77" i="13"/>
  <c r="A76" i="13"/>
  <c r="J76" i="13"/>
  <c r="H75" i="13"/>
  <c r="K52" i="13"/>
  <c r="AK1" i="13"/>
  <c r="BF35" i="13"/>
  <c r="BF10" i="13"/>
  <c r="BB35" i="13"/>
  <c r="BB10" i="13"/>
  <c r="AX35" i="13"/>
  <c r="AX10" i="13"/>
  <c r="AK11" i="13"/>
  <c r="AI52" i="13" a="1"/>
  <c r="AI52" i="13"/>
  <c r="V52" i="13" a="1"/>
  <c r="V52" i="13"/>
  <c r="A74" i="13"/>
  <c r="A82" i="13"/>
  <c r="K53" i="13"/>
  <c r="K66" i="13"/>
  <c r="K65" i="13"/>
  <c r="K63" i="13"/>
  <c r="K62" i="13"/>
  <c r="K60" i="13"/>
  <c r="K59" i="13"/>
  <c r="K57" i="13"/>
  <c r="K56" i="13"/>
  <c r="D71" i="13"/>
  <c r="K9" i="13"/>
  <c r="T9" i="13"/>
  <c r="AC9" i="13"/>
  <c r="AP9" i="13"/>
  <c r="F9" i="13" a="1"/>
  <c r="F9" i="13"/>
  <c r="O9" i="13"/>
  <c r="A13" i="13"/>
  <c r="C77" i="13"/>
  <c r="I75" i="13"/>
  <c r="J83" i="13"/>
  <c r="C78" i="13"/>
  <c r="G85" i="13"/>
  <c r="I84" i="13"/>
  <c r="F83" i="13"/>
  <c r="J87" i="13"/>
  <c r="F87" i="13"/>
  <c r="C79" i="13"/>
  <c r="G86" i="13"/>
  <c r="I87" i="13"/>
  <c r="J75" i="13"/>
  <c r="I77" i="13"/>
  <c r="G83" i="13"/>
  <c r="F84" i="13"/>
  <c r="J84" i="13"/>
  <c r="I85" i="13"/>
  <c r="H86" i="13"/>
  <c r="G87" i="13"/>
  <c r="G75" i="13"/>
  <c r="H76" i="13"/>
  <c r="H83" i="13"/>
  <c r="G84" i="13"/>
  <c r="F85" i="13"/>
  <c r="J85" i="13"/>
  <c r="I86" i="13"/>
  <c r="H87" i="13"/>
  <c r="G76" i="13"/>
  <c r="I76" i="13"/>
  <c r="F86" i="13"/>
  <c r="J86" i="13"/>
  <c r="H85" i="13"/>
  <c r="F76" i="13"/>
  <c r="F75" i="13"/>
  <c r="D77" i="13"/>
  <c r="E78" i="13"/>
  <c r="K54" i="13"/>
  <c r="AJ58" i="13"/>
  <c r="E24" i="6"/>
  <c r="AI57" i="13"/>
  <c r="AN54" i="13"/>
  <c r="AJ54" i="13"/>
  <c r="G20" i="6" a="1"/>
  <c r="I20" i="6"/>
  <c r="AM53" i="13"/>
  <c r="AI53" i="13"/>
  <c r="AJ59" i="13"/>
  <c r="E25" i="6"/>
  <c r="AI58" i="13"/>
  <c r="AJ55" i="13"/>
  <c r="AM54" i="13"/>
  <c r="AI54" i="13"/>
  <c r="E23" i="6"/>
  <c r="H20" i="6"/>
  <c r="AL53" i="13"/>
  <c r="E26" i="6"/>
  <c r="AI59" i="13"/>
  <c r="AJ56" i="13"/>
  <c r="E22" i="6"/>
  <c r="AI55" i="13"/>
  <c r="AL54" i="13"/>
  <c r="K20" i="6"/>
  <c r="AO53" i="13"/>
  <c r="G20" i="6"/>
  <c r="AK53" i="13"/>
  <c r="F19" i="6"/>
  <c r="AJ52" i="13"/>
  <c r="AJ57" i="13"/>
  <c r="AI56" i="13"/>
  <c r="AO54" i="13"/>
  <c r="AK54" i="13"/>
  <c r="J20" i="6"/>
  <c r="AN53" i="13"/>
  <c r="AJ53" i="13"/>
  <c r="W58" i="13"/>
  <c r="E12" i="6"/>
  <c r="V57" i="13"/>
  <c r="AA54" i="13"/>
  <c r="W54" i="13"/>
  <c r="G8" i="6" a="1"/>
  <c r="I8" i="6"/>
  <c r="Z53" i="13"/>
  <c r="V53" i="13"/>
  <c r="W59" i="13"/>
  <c r="E13" i="6"/>
  <c r="V58" i="13"/>
  <c r="W55" i="13"/>
  <c r="Z54" i="13"/>
  <c r="V54" i="13"/>
  <c r="E11" i="6"/>
  <c r="H8" i="6"/>
  <c r="Y53" i="13"/>
  <c r="E14" i="6"/>
  <c r="V59" i="13"/>
  <c r="W56" i="13"/>
  <c r="E10" i="6"/>
  <c r="V55" i="13"/>
  <c r="Y54" i="13"/>
  <c r="K8" i="6"/>
  <c r="AB53" i="13"/>
  <c r="G8" i="6"/>
  <c r="X53" i="13"/>
  <c r="AD8" i="4"/>
  <c r="F7" i="6"/>
  <c r="W52" i="13"/>
  <c r="W57" i="13"/>
  <c r="V56" i="13"/>
  <c r="AB54" i="13"/>
  <c r="X54" i="13"/>
  <c r="J8" i="6"/>
  <c r="AA53" i="13"/>
  <c r="W53" i="13"/>
  <c r="K55" i="13"/>
  <c r="H9" i="13"/>
  <c r="I9" i="13"/>
  <c r="G9" i="13"/>
  <c r="J9" i="13"/>
  <c r="S9" i="13"/>
  <c r="AU19" i="13"/>
  <c r="AU10" i="13"/>
  <c r="BE10" i="13"/>
  <c r="BI10" i="13"/>
  <c r="BD10" i="13"/>
  <c r="BH10" i="13"/>
  <c r="BC10" i="13"/>
  <c r="BG10" i="13"/>
  <c r="AU18" i="13"/>
  <c r="AU16" i="13"/>
  <c r="AU15" i="13"/>
  <c r="AU14" i="13"/>
  <c r="AU13" i="13"/>
  <c r="AU12" i="13"/>
  <c r="O11" i="13"/>
  <c r="O18" i="13"/>
  <c r="AK18" i="13"/>
  <c r="Q9" i="13"/>
  <c r="A15" i="13"/>
  <c r="P9" i="13"/>
  <c r="Y9" i="13"/>
  <c r="AL9" i="13"/>
  <c r="A14" i="13"/>
  <c r="R9" i="13"/>
  <c r="A16" i="13"/>
  <c r="A34" i="13" a="1"/>
  <c r="H77" i="13"/>
  <c r="G77" i="13"/>
  <c r="F77" i="13"/>
  <c r="D78" i="13"/>
  <c r="E79" i="13"/>
  <c r="AJ9" i="13"/>
  <c r="O8" i="13"/>
  <c r="X8" i="13"/>
  <c r="AK8" i="13"/>
  <c r="K58" i="13"/>
  <c r="AA9" i="13"/>
  <c r="AN9" i="13"/>
  <c r="X9" i="13"/>
  <c r="AB9" i="13"/>
  <c r="AO9" i="13"/>
  <c r="B18" i="6"/>
  <c r="F18" i="6"/>
  <c r="R8" i="4"/>
  <c r="D20" i="6"/>
  <c r="Q8" i="4"/>
  <c r="C20" i="6"/>
  <c r="A35" i="13"/>
  <c r="E35" i="13"/>
  <c r="A37" i="13"/>
  <c r="E37" i="13"/>
  <c r="A38" i="13"/>
  <c r="E38" i="13"/>
  <c r="A34" i="13"/>
  <c r="E34" i="13"/>
  <c r="A36" i="13"/>
  <c r="E36" i="13"/>
  <c r="G78" i="13"/>
  <c r="F78" i="13"/>
  <c r="I78" i="13"/>
  <c r="H78" i="13"/>
  <c r="D79" i="13"/>
  <c r="K61" i="13"/>
  <c r="Z9" i="13"/>
  <c r="AM9" i="13"/>
  <c r="E13" i="13"/>
  <c r="E14" i="13"/>
  <c r="AK9" i="13"/>
  <c r="AU3" i="6"/>
  <c r="BB3" i="6"/>
  <c r="AZ4" i="6"/>
  <c r="AG3" i="6"/>
  <c r="W14" i="13"/>
  <c r="N14" i="13"/>
  <c r="N34" i="13"/>
  <c r="W34" i="13"/>
  <c r="N38" i="13"/>
  <c r="W38" i="13"/>
  <c r="W37" i="13"/>
  <c r="N37" i="13"/>
  <c r="W13" i="13"/>
  <c r="N13" i="13"/>
  <c r="W36" i="13"/>
  <c r="N36" i="13"/>
  <c r="W35" i="13"/>
  <c r="N35" i="13"/>
  <c r="AO15" i="13"/>
  <c r="AO29" i="13"/>
  <c r="E15" i="13"/>
  <c r="AJ16" i="13"/>
  <c r="E16" i="13"/>
  <c r="J79" i="13"/>
  <c r="F79" i="13"/>
  <c r="I79" i="13"/>
  <c r="H79" i="13"/>
  <c r="G79" i="13"/>
  <c r="K64" i="13"/>
  <c r="AN13" i="13"/>
  <c r="AN27" i="13"/>
  <c r="AM13" i="13"/>
  <c r="AM27" i="13"/>
  <c r="AO13" i="13"/>
  <c r="AO27" i="13"/>
  <c r="AO14" i="13"/>
  <c r="AO28" i="13"/>
  <c r="AN14" i="13"/>
  <c r="AN28" i="13"/>
  <c r="AJ15" i="13"/>
  <c r="AJ13" i="13"/>
  <c r="AJ14" i="13"/>
  <c r="AA13" i="13"/>
  <c r="AA27" i="13"/>
  <c r="R13" i="13"/>
  <c r="R27" i="13"/>
  <c r="Z13" i="13"/>
  <c r="Z27" i="13"/>
  <c r="Q13" i="13"/>
  <c r="Q27" i="13"/>
  <c r="AB13" i="13"/>
  <c r="AB27" i="13"/>
  <c r="P13" i="13"/>
  <c r="P27" i="13"/>
  <c r="S13" i="13"/>
  <c r="S27" i="13"/>
  <c r="Q14" i="13"/>
  <c r="Q28" i="13"/>
  <c r="AA14" i="13"/>
  <c r="AA28" i="13"/>
  <c r="AB14" i="13"/>
  <c r="AB28" i="13"/>
  <c r="S14" i="13"/>
  <c r="S28" i="13"/>
  <c r="R14" i="13"/>
  <c r="R28" i="13"/>
  <c r="AB15" i="13"/>
  <c r="AB29" i="13"/>
  <c r="S15" i="13"/>
  <c r="S29" i="13"/>
  <c r="R15" i="13"/>
  <c r="R29" i="13"/>
  <c r="S16" i="13"/>
  <c r="S30" i="13"/>
  <c r="I13" i="13"/>
  <c r="I27" i="13"/>
  <c r="H13" i="13"/>
  <c r="H27" i="13"/>
  <c r="J13" i="13"/>
  <c r="J27" i="13"/>
  <c r="J14" i="13"/>
  <c r="J28" i="13"/>
  <c r="I14" i="13"/>
  <c r="I28" i="13"/>
  <c r="J15" i="13"/>
  <c r="J29" i="13"/>
  <c r="A12" i="13"/>
  <c r="E12" i="13"/>
  <c r="A20" i="13"/>
  <c r="A21" i="13"/>
  <c r="A22" i="13"/>
  <c r="A23" i="13"/>
  <c r="AD7" i="6"/>
  <c r="AC3" i="6"/>
  <c r="AD3" i="6"/>
  <c r="D6" i="4"/>
  <c r="AA5" i="6"/>
  <c r="AC10" i="6"/>
  <c r="S3" i="6"/>
  <c r="N15" i="13"/>
  <c r="W15" i="13"/>
  <c r="W12" i="13"/>
  <c r="N12" i="13"/>
  <c r="N16" i="13"/>
  <c r="W16" i="13"/>
  <c r="AB45" i="13"/>
  <c r="AB36" i="13"/>
  <c r="R36" i="13"/>
  <c r="E21" i="13"/>
  <c r="AA36" i="13"/>
  <c r="T45" i="13"/>
  <c r="S36" i="13"/>
  <c r="Z35" i="13"/>
  <c r="T44" i="13"/>
  <c r="AB44" i="13"/>
  <c r="S35" i="13"/>
  <c r="E20" i="13"/>
  <c r="AB35" i="13"/>
  <c r="R35" i="13"/>
  <c r="AA35" i="13"/>
  <c r="Q35" i="13"/>
  <c r="T47" i="13"/>
  <c r="AB47" i="13"/>
  <c r="E23" i="13"/>
  <c r="E22" i="13"/>
  <c r="S37" i="13"/>
  <c r="T46" i="13"/>
  <c r="AB46" i="13"/>
  <c r="AB37" i="13"/>
  <c r="I36" i="13"/>
  <c r="J36" i="13"/>
  <c r="J37" i="13"/>
  <c r="J35" i="13"/>
  <c r="I35" i="13"/>
  <c r="H35" i="13"/>
  <c r="AJ23" i="13"/>
  <c r="K67" i="13"/>
  <c r="AO22" i="13"/>
  <c r="AB22" i="13"/>
  <c r="AM12" i="13"/>
  <c r="AM26" i="13"/>
  <c r="AL12" i="13"/>
  <c r="AL26" i="13"/>
  <c r="AN12" i="13"/>
  <c r="AN26" i="13"/>
  <c r="AO12" i="13"/>
  <c r="AO26" i="13"/>
  <c r="AN21" i="13"/>
  <c r="AB21" i="13"/>
  <c r="AA21" i="13"/>
  <c r="AO21" i="13"/>
  <c r="Z20" i="13"/>
  <c r="AB20" i="13"/>
  <c r="AO20" i="13"/>
  <c r="AM20" i="13"/>
  <c r="AA20" i="13"/>
  <c r="AN20" i="13"/>
  <c r="AJ22" i="13"/>
  <c r="AJ20" i="13"/>
  <c r="AJ21" i="13"/>
  <c r="AJ12" i="13"/>
  <c r="S23" i="13"/>
  <c r="S20" i="13"/>
  <c r="R20" i="13"/>
  <c r="Q20" i="13"/>
  <c r="P20" i="13"/>
  <c r="J22" i="13"/>
  <c r="S22" i="13"/>
  <c r="R22" i="13"/>
  <c r="R21" i="13"/>
  <c r="Q21" i="13"/>
  <c r="S21" i="13"/>
  <c r="AB12" i="13"/>
  <c r="AB26" i="13"/>
  <c r="S12" i="13"/>
  <c r="S26" i="13"/>
  <c r="O12" i="13"/>
  <c r="O26" i="13"/>
  <c r="AA12" i="13"/>
  <c r="AA26" i="13"/>
  <c r="R12" i="13"/>
  <c r="R26" i="13"/>
  <c r="Y12" i="13"/>
  <c r="Y26" i="13"/>
  <c r="Z12" i="13"/>
  <c r="Z26" i="13"/>
  <c r="Q12" i="13"/>
  <c r="Q26" i="13"/>
  <c r="P12" i="13"/>
  <c r="P26" i="13"/>
  <c r="I21" i="13"/>
  <c r="J21" i="13"/>
  <c r="I12" i="13"/>
  <c r="I26" i="13"/>
  <c r="H12" i="13"/>
  <c r="H26" i="13"/>
  <c r="E52" i="13"/>
  <c r="J12" i="13"/>
  <c r="J26" i="13"/>
  <c r="G12" i="13"/>
  <c r="G26" i="13"/>
  <c r="J20" i="13"/>
  <c r="H20" i="13"/>
  <c r="I20" i="13"/>
  <c r="A19" i="13"/>
  <c r="C6" i="6"/>
  <c r="C8" i="6"/>
  <c r="D8" i="6"/>
  <c r="E29" i="13"/>
  <c r="W22" i="13"/>
  <c r="N22" i="13"/>
  <c r="E27" i="13"/>
  <c r="W20" i="13"/>
  <c r="N20" i="13"/>
  <c r="E28" i="13"/>
  <c r="N21" i="13"/>
  <c r="W21" i="13"/>
  <c r="E30" i="13"/>
  <c r="W23" i="13"/>
  <c r="N23" i="13"/>
  <c r="Y34" i="13"/>
  <c r="P34" i="13"/>
  <c r="X33" i="13" a="1"/>
  <c r="AB34" i="13"/>
  <c r="S34" i="13"/>
  <c r="T43" i="13"/>
  <c r="AB43" i="13"/>
  <c r="AA34" i="13"/>
  <c r="O33" i="13" a="1"/>
  <c r="R34" i="13"/>
  <c r="E19" i="13"/>
  <c r="Z34" i="13"/>
  <c r="Q34" i="13"/>
  <c r="J34" i="13"/>
  <c r="I34" i="13"/>
  <c r="H34" i="13"/>
  <c r="F33" i="13" a="1"/>
  <c r="G34" i="13"/>
  <c r="AO19" i="13"/>
  <c r="Y19" i="13"/>
  <c r="AA19" i="13"/>
  <c r="AN19" i="13"/>
  <c r="AB19" i="13"/>
  <c r="AL19" i="13"/>
  <c r="Z19" i="13"/>
  <c r="AM19" i="13"/>
  <c r="AJ19" i="13"/>
  <c r="P19" i="13"/>
  <c r="S19" i="13"/>
  <c r="O19" i="13"/>
  <c r="R19" i="13"/>
  <c r="Q19" i="13"/>
  <c r="T12" i="13"/>
  <c r="J19" i="13"/>
  <c r="I19" i="13"/>
  <c r="G19" i="13"/>
  <c r="H19" i="13"/>
  <c r="E53" i="13"/>
  <c r="E55" i="13"/>
  <c r="L52" i="13"/>
  <c r="D18" i="9"/>
  <c r="D17" i="9"/>
  <c r="D16" i="9"/>
  <c r="D15" i="9"/>
  <c r="D10" i="9"/>
  <c r="D13" i="9"/>
  <c r="D12" i="9"/>
  <c r="D14" i="9"/>
  <c r="DL12" i="4"/>
  <c r="DF17" i="4"/>
  <c r="DH18" i="4"/>
  <c r="DJ18" i="4"/>
  <c r="DF23" i="4"/>
  <c r="DK8" i="4"/>
  <c r="DJ8" i="4"/>
  <c r="DH8" i="4"/>
  <c r="DG8" i="4"/>
  <c r="DF7" i="4"/>
  <c r="DF11" i="4"/>
  <c r="DF10" i="4"/>
  <c r="DF8" i="4"/>
  <c r="N27" i="13"/>
  <c r="AJ27" i="13"/>
  <c r="W27" i="13"/>
  <c r="E26" i="13"/>
  <c r="W19" i="13"/>
  <c r="N19" i="13"/>
  <c r="AJ28" i="13"/>
  <c r="N28" i="13"/>
  <c r="W28" i="13"/>
  <c r="W30" i="13"/>
  <c r="AJ30" i="13"/>
  <c r="N30" i="13"/>
  <c r="W29" i="13"/>
  <c r="N29" i="13"/>
  <c r="AJ29" i="13"/>
  <c r="X33" i="13"/>
  <c r="AB33" i="13"/>
  <c r="AA33" i="13"/>
  <c r="Y33" i="13"/>
  <c r="Z33" i="13"/>
  <c r="P33" i="13"/>
  <c r="Q33" i="13"/>
  <c r="R33" i="13"/>
  <c r="S33" i="13"/>
  <c r="O33" i="13"/>
  <c r="T26" i="13"/>
  <c r="T34" i="13"/>
  <c r="F33" i="13"/>
  <c r="I33" i="13"/>
  <c r="H33" i="13"/>
  <c r="G33" i="13"/>
  <c r="J33" i="13"/>
  <c r="I53" i="13"/>
  <c r="J53" i="13"/>
  <c r="G53" i="13"/>
  <c r="F53" i="13"/>
  <c r="H53" i="13"/>
  <c r="T19" i="13"/>
  <c r="F12" i="13"/>
  <c r="E58" i="13"/>
  <c r="L55" i="13"/>
  <c r="E56" i="13"/>
  <c r="G56" i="13"/>
  <c r="E54" i="13"/>
  <c r="L53" i="13"/>
  <c r="CY7" i="4"/>
  <c r="CY8" i="4"/>
  <c r="CY11" i="4"/>
  <c r="CY10" i="4"/>
  <c r="W26" i="13"/>
  <c r="AJ26" i="13"/>
  <c r="N26" i="13"/>
  <c r="O36" i="13"/>
  <c r="O37" i="13"/>
  <c r="O38" i="13"/>
  <c r="O35" i="13"/>
  <c r="O34" i="13"/>
  <c r="H54" i="13"/>
  <c r="H55" i="13"/>
  <c r="G54" i="13"/>
  <c r="F54" i="13"/>
  <c r="F55" i="13"/>
  <c r="J54" i="13"/>
  <c r="J55" i="13"/>
  <c r="I54" i="13"/>
  <c r="I55" i="13"/>
  <c r="E57" i="13"/>
  <c r="G57" i="13"/>
  <c r="G58" i="13"/>
  <c r="L54" i="13"/>
  <c r="G13" i="13"/>
  <c r="K12" i="13"/>
  <c r="E59" i="13"/>
  <c r="H59" i="13"/>
  <c r="L56" i="13"/>
  <c r="E61" i="13"/>
  <c r="L58" i="13"/>
  <c r="CM6" i="4"/>
  <c r="CS7" i="4"/>
  <c r="CI7" i="4"/>
  <c r="CR7" i="4"/>
  <c r="AE8" i="4"/>
  <c r="CF7" i="4"/>
  <c r="CP7" i="4"/>
  <c r="CU15" i="4"/>
  <c r="G59" i="13"/>
  <c r="I56" i="13"/>
  <c r="I57" i="13"/>
  <c r="F57" i="13"/>
  <c r="F56" i="13"/>
  <c r="H57" i="13"/>
  <c r="H56" i="13"/>
  <c r="J57" i="13"/>
  <c r="J56" i="13"/>
  <c r="E60" i="13"/>
  <c r="H60" i="13"/>
  <c r="H61" i="13"/>
  <c r="L57" i="13"/>
  <c r="H14" i="13"/>
  <c r="E62" i="13"/>
  <c r="I62" i="13"/>
  <c r="L59" i="13"/>
  <c r="F19" i="13"/>
  <c r="F26" i="13"/>
  <c r="E64" i="13"/>
  <c r="L61" i="13"/>
  <c r="AW7" i="4"/>
  <c r="AP8" i="4"/>
  <c r="AZ8" i="4"/>
  <c r="BB8" i="4"/>
  <c r="BD7" i="4"/>
  <c r="BC7" i="4"/>
  <c r="BD8" i="4"/>
  <c r="BC8" i="4"/>
  <c r="AM8" i="4"/>
  <c r="AY8" i="4"/>
  <c r="AL8" i="4"/>
  <c r="AX8" i="4"/>
  <c r="AK8" i="4"/>
  <c r="AW8" i="4"/>
  <c r="AK7" i="4"/>
  <c r="AT7" i="4"/>
  <c r="AS7" i="4"/>
  <c r="AR14" i="4"/>
  <c r="AR13" i="4"/>
  <c r="AG11" i="4"/>
  <c r="AG12" i="4"/>
  <c r="AR12" i="4"/>
  <c r="AR11" i="4"/>
  <c r="AR10" i="4"/>
  <c r="AR8" i="4"/>
  <c r="AO8" i="4"/>
  <c r="AN8" i="4"/>
  <c r="D14" i="12"/>
  <c r="CB14" i="4"/>
  <c r="CN14" i="4"/>
  <c r="D13" i="12"/>
  <c r="CB13" i="4"/>
  <c r="CN13" i="4"/>
  <c r="D11" i="12"/>
  <c r="CB11" i="4"/>
  <c r="CN11" i="4"/>
  <c r="D10" i="12"/>
  <c r="CB10" i="4"/>
  <c r="CN10" i="4"/>
  <c r="AM14" i="4"/>
  <c r="AY14" i="4"/>
  <c r="AL14" i="4"/>
  <c r="AX14" i="4"/>
  <c r="AK14" i="4"/>
  <c r="AW14" i="4"/>
  <c r="AM13" i="4"/>
  <c r="AY13" i="4"/>
  <c r="AL13" i="4"/>
  <c r="AX13" i="4"/>
  <c r="AK13" i="4"/>
  <c r="AW13" i="4"/>
  <c r="AM12" i="4"/>
  <c r="AY12" i="4"/>
  <c r="AK12" i="4"/>
  <c r="AW12" i="4"/>
  <c r="AM11" i="4"/>
  <c r="AY11" i="4"/>
  <c r="AL11" i="4"/>
  <c r="AX11" i="4"/>
  <c r="AK11" i="4"/>
  <c r="AW11" i="4"/>
  <c r="AM10" i="4"/>
  <c r="AY10" i="4"/>
  <c r="AL10" i="4"/>
  <c r="AX10" i="4"/>
  <c r="AK10" i="4"/>
  <c r="AW10" i="4"/>
  <c r="J58" i="13"/>
  <c r="J60" i="13"/>
  <c r="F34" i="13"/>
  <c r="F58" i="13"/>
  <c r="F60" i="13"/>
  <c r="I58" i="13"/>
  <c r="I59" i="13"/>
  <c r="H62" i="13"/>
  <c r="J59" i="13"/>
  <c r="G60" i="13"/>
  <c r="G61" i="13"/>
  <c r="K19" i="13"/>
  <c r="K34" i="13"/>
  <c r="G20" i="13"/>
  <c r="G27" i="13"/>
  <c r="E67" i="13"/>
  <c r="L64" i="13"/>
  <c r="E65" i="13"/>
  <c r="J65" i="13"/>
  <c r="L62" i="13"/>
  <c r="F20" i="13"/>
  <c r="E63" i="13"/>
  <c r="I63" i="13"/>
  <c r="I64" i="13"/>
  <c r="L60" i="13"/>
  <c r="BI16" i="4"/>
  <c r="BI21" i="4"/>
  <c r="F35" i="13"/>
  <c r="I60" i="13"/>
  <c r="F59" i="13"/>
  <c r="F61" i="13"/>
  <c r="F63" i="13"/>
  <c r="J61" i="13"/>
  <c r="J63" i="13"/>
  <c r="I65" i="13"/>
  <c r="H63" i="13"/>
  <c r="H64" i="13"/>
  <c r="G62" i="13"/>
  <c r="G63" i="13"/>
  <c r="K26" i="13"/>
  <c r="L67" i="13"/>
  <c r="O20" i="13"/>
  <c r="T20" i="13"/>
  <c r="G14" i="13"/>
  <c r="H21" i="13"/>
  <c r="H28" i="13"/>
  <c r="H15" i="13"/>
  <c r="L65" i="13"/>
  <c r="I15" i="13"/>
  <c r="E66" i="13"/>
  <c r="J66" i="13"/>
  <c r="J67" i="13"/>
  <c r="L63" i="13"/>
  <c r="K20" i="13"/>
  <c r="BI5" i="4"/>
  <c r="BN10" i="4"/>
  <c r="BN9" i="4"/>
  <c r="BL9" i="4"/>
  <c r="BL13" i="4"/>
  <c r="BK13" i="4"/>
  <c r="BM13" i="4"/>
  <c r="BV21" i="4"/>
  <c r="BU21" i="4"/>
  <c r="BT21" i="4"/>
  <c r="BS21" i="4"/>
  <c r="BR5" i="4"/>
  <c r="J16" i="13"/>
  <c r="AO16" i="13"/>
  <c r="AO30" i="13"/>
  <c r="F13" i="13"/>
  <c r="F36" i="13"/>
  <c r="J62" i="13"/>
  <c r="G64" i="13"/>
  <c r="G66" i="13"/>
  <c r="F62" i="13"/>
  <c r="F64" i="13"/>
  <c r="F66" i="13"/>
  <c r="H66" i="13"/>
  <c r="H65" i="13"/>
  <c r="I66" i="13"/>
  <c r="I67" i="13"/>
  <c r="U43" i="13"/>
  <c r="AX36" i="13"/>
  <c r="G21" i="13"/>
  <c r="G28" i="13"/>
  <c r="F21" i="13"/>
  <c r="Q15" i="13"/>
  <c r="P14" i="13"/>
  <c r="G15" i="13"/>
  <c r="I22" i="13"/>
  <c r="I29" i="13"/>
  <c r="H22" i="13"/>
  <c r="H29" i="13"/>
  <c r="I16" i="13"/>
  <c r="L66" i="13"/>
  <c r="F14" i="13"/>
  <c r="F28" i="13"/>
  <c r="BL11" i="4"/>
  <c r="BK11" i="4"/>
  <c r="BN13" i="4"/>
  <c r="BO13" i="4"/>
  <c r="BL10" i="4"/>
  <c r="BN11" i="4"/>
  <c r="V8" i="4"/>
  <c r="U14" i="4"/>
  <c r="U13" i="4"/>
  <c r="U12" i="4"/>
  <c r="U11" i="4"/>
  <c r="U8" i="4"/>
  <c r="U10" i="4"/>
  <c r="CA6" i="4"/>
  <c r="U7" i="4"/>
  <c r="CU6" i="4"/>
  <c r="CT6" i="4"/>
  <c r="Z7" i="4"/>
  <c r="AB8" i="4"/>
  <c r="AA14" i="4"/>
  <c r="AA10" i="4"/>
  <c r="AA13" i="4"/>
  <c r="AA8" i="4"/>
  <c r="D8" i="12"/>
  <c r="CC14" i="4"/>
  <c r="CO14" i="4"/>
  <c r="CC13" i="4"/>
  <c r="CO13" i="4"/>
  <c r="CC12" i="4"/>
  <c r="CO12" i="4"/>
  <c r="CC11" i="4"/>
  <c r="CO11" i="4"/>
  <c r="CC10" i="4"/>
  <c r="CO10" i="4"/>
  <c r="CC7" i="4"/>
  <c r="CO7" i="4"/>
  <c r="CB7" i="4"/>
  <c r="CN7" i="4"/>
  <c r="AB14" i="4"/>
  <c r="AE14" i="4"/>
  <c r="AP14" i="4"/>
  <c r="AZ14" i="4"/>
  <c r="AB13" i="4"/>
  <c r="AE13" i="4"/>
  <c r="AP13" i="4"/>
  <c r="AZ13" i="4"/>
  <c r="AB12" i="4"/>
  <c r="AE12" i="4"/>
  <c r="AP12" i="4"/>
  <c r="AZ12" i="4"/>
  <c r="AB10" i="4"/>
  <c r="AE10" i="4"/>
  <c r="AP10" i="4"/>
  <c r="AZ10" i="4"/>
  <c r="AB11" i="4"/>
  <c r="AE11" i="4"/>
  <c r="AP11" i="4"/>
  <c r="AZ11" i="4"/>
  <c r="Z8" i="4"/>
  <c r="Z14" i="4"/>
  <c r="Z13" i="4"/>
  <c r="Z12" i="4"/>
  <c r="Z11" i="4"/>
  <c r="Z10" i="4"/>
  <c r="P7" i="4"/>
  <c r="P14" i="4"/>
  <c r="P13" i="4"/>
  <c r="P12" i="4"/>
  <c r="P11" i="4"/>
  <c r="P10" i="4"/>
  <c r="P8" i="4"/>
  <c r="I7" i="4"/>
  <c r="B4" i="4"/>
  <c r="A2" i="8"/>
  <c r="AB16" i="13"/>
  <c r="G35" i="13"/>
  <c r="O13" i="13"/>
  <c r="F27" i="13"/>
  <c r="K13" i="13"/>
  <c r="AB30" i="13"/>
  <c r="X38" i="13"/>
  <c r="G37" i="13"/>
  <c r="G36" i="13"/>
  <c r="F37" i="13"/>
  <c r="BB36" i="13"/>
  <c r="BB12" i="13"/>
  <c r="AX12" i="13"/>
  <c r="G65" i="13"/>
  <c r="G67" i="13"/>
  <c r="H67" i="13"/>
  <c r="F65" i="13"/>
  <c r="F67" i="13"/>
  <c r="H36" i="13"/>
  <c r="AN16" i="13"/>
  <c r="AN30" i="13"/>
  <c r="H16" i="13"/>
  <c r="G22" i="13"/>
  <c r="G29" i="13"/>
  <c r="P21" i="13"/>
  <c r="P36" i="13"/>
  <c r="K21" i="13"/>
  <c r="H23" i="13"/>
  <c r="O21" i="13"/>
  <c r="R16" i="13"/>
  <c r="AA16" i="13"/>
  <c r="Q22" i="13"/>
  <c r="Q29" i="13"/>
  <c r="K14" i="13"/>
  <c r="O14" i="13"/>
  <c r="P15" i="13"/>
  <c r="J23" i="13"/>
  <c r="J30" i="13"/>
  <c r="I23" i="13"/>
  <c r="G38" i="13"/>
  <c r="BM11" i="4"/>
  <c r="DH20" i="4"/>
  <c r="BO11" i="4"/>
  <c r="AA8" i="11"/>
  <c r="AD8" i="11"/>
  <c r="AH8" i="11"/>
  <c r="AZ8" i="11"/>
  <c r="BH8" i="11"/>
  <c r="AH63" i="11"/>
  <c r="AI65" i="11"/>
  <c r="P35" i="13"/>
  <c r="O27" i="13"/>
  <c r="T13" i="13"/>
  <c r="K35" i="13"/>
  <c r="K27" i="13"/>
  <c r="AX37" i="13"/>
  <c r="AX13" i="13"/>
  <c r="AA30" i="13"/>
  <c r="Y38" i="13"/>
  <c r="P28" i="13"/>
  <c r="P37" i="13"/>
  <c r="I30" i="13"/>
  <c r="O28" i="13"/>
  <c r="H30" i="13"/>
  <c r="F38" i="13"/>
  <c r="Q36" i="13"/>
  <c r="K36" i="13"/>
  <c r="T14" i="13"/>
  <c r="H37" i="13"/>
  <c r="H38" i="13"/>
  <c r="AM16" i="13"/>
  <c r="AM30" i="13"/>
  <c r="Z16" i="13"/>
  <c r="Q16" i="13"/>
  <c r="T21" i="13"/>
  <c r="P22" i="13"/>
  <c r="Q37" i="13"/>
  <c r="F15" i="13"/>
  <c r="Z23" i="13"/>
  <c r="AM23" i="13"/>
  <c r="K28" i="13"/>
  <c r="AX38" i="13"/>
  <c r="AX14" i="13"/>
  <c r="AN23" i="13"/>
  <c r="AA23" i="13"/>
  <c r="AB23" i="13"/>
  <c r="AO23" i="13"/>
  <c r="G16" i="13"/>
  <c r="Q23" i="13"/>
  <c r="R23" i="13"/>
  <c r="P38" i="13"/>
  <c r="AF63" i="11"/>
  <c r="AH71" i="11"/>
  <c r="AH70" i="11"/>
  <c r="AH69" i="11"/>
  <c r="AH68" i="11"/>
  <c r="AH67" i="11"/>
  <c r="AF71" i="11"/>
  <c r="AF70" i="11"/>
  <c r="AF68" i="11"/>
  <c r="AF67" i="11"/>
  <c r="AD75" i="11"/>
  <c r="AD74" i="11"/>
  <c r="BM7" i="11"/>
  <c r="BK7" i="11"/>
  <c r="BH7" i="11"/>
  <c r="BN8" i="11"/>
  <c r="AW6" i="11"/>
  <c r="BF6" i="11"/>
  <c r="BM8" i="11"/>
  <c r="AF57" i="11"/>
  <c r="AF56" i="11"/>
  <c r="AF54" i="11"/>
  <c r="AF51" i="11"/>
  <c r="AF50" i="11"/>
  <c r="AG49" i="11"/>
  <c r="AI48" i="11"/>
  <c r="AH48" i="11"/>
  <c r="AG48" i="11"/>
  <c r="AF53" i="11"/>
  <c r="AC20" i="11"/>
  <c r="T27" i="13"/>
  <c r="T35" i="13"/>
  <c r="P29" i="13"/>
  <c r="Q38" i="13"/>
  <c r="Q30" i="13"/>
  <c r="R30" i="13"/>
  <c r="Z30" i="13"/>
  <c r="Z38" i="13"/>
  <c r="T36" i="13"/>
  <c r="T28" i="13"/>
  <c r="BB38" i="13"/>
  <c r="BB14" i="13"/>
  <c r="G23" i="13"/>
  <c r="AL23" i="13"/>
  <c r="O15" i="13"/>
  <c r="K15" i="13"/>
  <c r="F22" i="13"/>
  <c r="F29" i="13"/>
  <c r="F16" i="13"/>
  <c r="F23" i="13"/>
  <c r="AK23" i="13"/>
  <c r="AL16" i="13"/>
  <c r="AL30" i="13"/>
  <c r="Y16" i="13"/>
  <c r="P16" i="13"/>
  <c r="G2" i="11"/>
  <c r="G1" i="11"/>
  <c r="AY7" i="11"/>
  <c r="BB7" i="11"/>
  <c r="BC7" i="11"/>
  <c r="U8" i="11"/>
  <c r="AE65" i="11"/>
  <c r="T7" i="11"/>
  <c r="AD64" i="11"/>
  <c r="U14" i="11"/>
  <c r="AE71" i="11"/>
  <c r="U10" i="11"/>
  <c r="AE67" i="11"/>
  <c r="U11" i="11"/>
  <c r="BM12" i="11"/>
  <c r="BM11" i="11"/>
  <c r="BM10" i="11"/>
  <c r="BM13" i="11"/>
  <c r="BM14" i="11"/>
  <c r="AF5" i="11"/>
  <c r="AF48" i="11"/>
  <c r="V5" i="11"/>
  <c r="AI4" i="11"/>
  <c r="AE4" i="11"/>
  <c r="AE13" i="11"/>
  <c r="AB4" i="11"/>
  <c r="AB12" i="11"/>
  <c r="AC5" i="11"/>
  <c r="Z5" i="11"/>
  <c r="W5" i="11"/>
  <c r="AC35" i="11"/>
  <c r="CA7" i="4"/>
  <c r="CM7" i="4"/>
  <c r="CA10" i="4"/>
  <c r="CM10" i="4"/>
  <c r="I8" i="4"/>
  <c r="I10" i="4"/>
  <c r="S10" i="6"/>
  <c r="E15" i="8"/>
  <c r="AC34" i="11"/>
  <c r="AC32" i="11"/>
  <c r="AN20" i="11"/>
  <c r="AM20" i="11"/>
  <c r="AL20" i="11"/>
  <c r="AF6" i="11"/>
  <c r="AF49" i="11"/>
  <c r="T4" i="11"/>
  <c r="Y14" i="11"/>
  <c r="Y13" i="11"/>
  <c r="Y12" i="11"/>
  <c r="Y11" i="11"/>
  <c r="Y10" i="11"/>
  <c r="AE14" i="11"/>
  <c r="AB8" i="11"/>
  <c r="AE8" i="11"/>
  <c r="AI8" i="11"/>
  <c r="AG65" i="11"/>
  <c r="Z8" i="11"/>
  <c r="AC8" i="11"/>
  <c r="AG8" i="11"/>
  <c r="AF65" i="11"/>
  <c r="U44" i="13"/>
  <c r="BB37" i="13"/>
  <c r="BB13" i="13"/>
  <c r="F30" i="13"/>
  <c r="G30" i="13"/>
  <c r="Y30" i="13"/>
  <c r="AA38" i="13"/>
  <c r="I37" i="13"/>
  <c r="U45" i="13"/>
  <c r="T15" i="13"/>
  <c r="I38" i="13"/>
  <c r="J38" i="13"/>
  <c r="X16" i="13"/>
  <c r="AP23" i="13"/>
  <c r="AV16" i="13"/>
  <c r="Y23" i="13"/>
  <c r="P23" i="13"/>
  <c r="P30" i="13"/>
  <c r="O22" i="13"/>
  <c r="T22" i="13"/>
  <c r="K22" i="13"/>
  <c r="K29" i="13"/>
  <c r="AX39" i="13"/>
  <c r="AX15" i="13"/>
  <c r="K16" i="13"/>
  <c r="AK16" i="13"/>
  <c r="O16" i="13"/>
  <c r="O23" i="13"/>
  <c r="X23" i="13"/>
  <c r="K23" i="13"/>
  <c r="AA10" i="6"/>
  <c r="AG10" i="6"/>
  <c r="AE68" i="11"/>
  <c r="AX11" i="11"/>
  <c r="BG11" i="11"/>
  <c r="AY8" i="11"/>
  <c r="AG51" i="11"/>
  <c r="AH51" i="11"/>
  <c r="BA8" i="11"/>
  <c r="AI51" i="11"/>
  <c r="AX14" i="11"/>
  <c r="BG14" i="11"/>
  <c r="AE57" i="11"/>
  <c r="AW7" i="11"/>
  <c r="BF7" i="11"/>
  <c r="AD50" i="11"/>
  <c r="AE54" i="11"/>
  <c r="AX8" i="11"/>
  <c r="BG8" i="11"/>
  <c r="AE51" i="11"/>
  <c r="AX10" i="11"/>
  <c r="BG10" i="11"/>
  <c r="AE53" i="11"/>
  <c r="AB13" i="11"/>
  <c r="AB10" i="11"/>
  <c r="AB14" i="11"/>
  <c r="AB11" i="11"/>
  <c r="AE10" i="11"/>
  <c r="AE11" i="11"/>
  <c r="AE12" i="11"/>
  <c r="AD16" i="11"/>
  <c r="X16" i="11"/>
  <c r="T8" i="11"/>
  <c r="AD65" i="11"/>
  <c r="T16" i="11"/>
  <c r="T10" i="11"/>
  <c r="AD67" i="11"/>
  <c r="R38" i="13"/>
  <c r="S38" i="13"/>
  <c r="O30" i="13"/>
  <c r="X30" i="13"/>
  <c r="AB38" i="13"/>
  <c r="O29" i="13"/>
  <c r="AP16" i="13"/>
  <c r="AW16" i="13"/>
  <c r="AK30" i="13"/>
  <c r="R37" i="13"/>
  <c r="T29" i="13"/>
  <c r="BB39" i="13"/>
  <c r="BB15" i="13"/>
  <c r="AC16" i="13"/>
  <c r="T37" i="13"/>
  <c r="K38" i="13"/>
  <c r="K37" i="13"/>
  <c r="T16" i="13"/>
  <c r="AC23" i="13"/>
  <c r="T23" i="13"/>
  <c r="K30" i="13"/>
  <c r="AX40" i="13"/>
  <c r="AX16" i="13"/>
  <c r="AD59" i="11"/>
  <c r="AD73" i="11"/>
  <c r="AW10" i="11"/>
  <c r="BF10" i="11"/>
  <c r="AD53" i="11"/>
  <c r="AW8" i="11"/>
  <c r="BF8" i="11"/>
  <c r="AD51" i="11"/>
  <c r="AE16" i="11"/>
  <c r="Y16" i="11"/>
  <c r="AD18" i="11"/>
  <c r="AN24" i="11"/>
  <c r="AN25" i="11"/>
  <c r="X18" i="11"/>
  <c r="AL25" i="11"/>
  <c r="AA16" i="11"/>
  <c r="AA18" i="11"/>
  <c r="AM24" i="11"/>
  <c r="AM25" i="11"/>
  <c r="Q6" i="11"/>
  <c r="P6" i="11"/>
  <c r="O6" i="11"/>
  <c r="N6" i="11"/>
  <c r="M6" i="11"/>
  <c r="L6" i="11"/>
  <c r="K6" i="11"/>
  <c r="J6" i="11"/>
  <c r="I6" i="11"/>
  <c r="H6" i="11"/>
  <c r="AG71" i="11"/>
  <c r="AG70" i="11"/>
  <c r="AG69" i="11"/>
  <c r="AG68" i="11"/>
  <c r="Q5" i="11"/>
  <c r="P5" i="11"/>
  <c r="O5" i="11"/>
  <c r="N5" i="11"/>
  <c r="M5" i="11"/>
  <c r="L5" i="11"/>
  <c r="K5" i="11"/>
  <c r="J5" i="11"/>
  <c r="I5" i="11"/>
  <c r="H5" i="11"/>
  <c r="AL21" i="11"/>
  <c r="L7" i="10"/>
  <c r="J7" i="10"/>
  <c r="E7" i="10"/>
  <c r="C18" i="10"/>
  <c r="D14" i="10"/>
  <c r="P5" i="10"/>
  <c r="D10" i="10"/>
  <c r="O5" i="10"/>
  <c r="D8" i="10"/>
  <c r="C16" i="10"/>
  <c r="C8" i="10"/>
  <c r="C7" i="10"/>
  <c r="C3" i="10"/>
  <c r="N3" i="10"/>
  <c r="G16" i="10"/>
  <c r="F16" i="10"/>
  <c r="E16" i="10"/>
  <c r="H14" i="10"/>
  <c r="AP30" i="13"/>
  <c r="U46" i="13"/>
  <c r="T30" i="13"/>
  <c r="BB40" i="13"/>
  <c r="BB16" i="13"/>
  <c r="T38" i="13"/>
  <c r="AC30" i="13"/>
  <c r="BF40" i="13"/>
  <c r="BF16" i="13"/>
  <c r="AC38" i="13"/>
  <c r="O10" i="10"/>
  <c r="I11" i="4"/>
  <c r="E16" i="8"/>
  <c r="CA11" i="4"/>
  <c r="CM11" i="4"/>
  <c r="T11" i="11"/>
  <c r="AH53" i="11"/>
  <c r="AG67" i="11"/>
  <c r="AZ13" i="11"/>
  <c r="BH13" i="11"/>
  <c r="AH56" i="11"/>
  <c r="AZ14" i="11"/>
  <c r="BH14" i="11"/>
  <c r="AH57" i="11"/>
  <c r="AZ11" i="11"/>
  <c r="BH11" i="11"/>
  <c r="AH54" i="11"/>
  <c r="AZ12" i="11"/>
  <c r="BH12" i="11"/>
  <c r="AH55" i="11"/>
  <c r="G16" i="11"/>
  <c r="AB16" i="11"/>
  <c r="AH16" i="11"/>
  <c r="AZ10" i="11"/>
  <c r="BH10" i="11"/>
  <c r="H16" i="10"/>
  <c r="I14" i="10"/>
  <c r="I16" i="10"/>
  <c r="U47" i="13"/>
  <c r="AC47" i="13"/>
  <c r="AD47" i="13"/>
  <c r="AG16" i="11"/>
  <c r="AD68" i="11"/>
  <c r="AW11" i="11"/>
  <c r="BF11" i="11"/>
  <c r="AD54" i="11"/>
  <c r="I12" i="4"/>
  <c r="E17" i="8"/>
  <c r="CA12" i="4"/>
  <c r="CM12" i="4"/>
  <c r="T12" i="11"/>
  <c r="AH59" i="11"/>
  <c r="AG73" i="11"/>
  <c r="AF16" i="11"/>
  <c r="AF55" i="11"/>
  <c r="G17" i="11"/>
  <c r="J10" i="7"/>
  <c r="J19" i="7"/>
  <c r="G19" i="7"/>
  <c r="H19" i="7"/>
  <c r="G20" i="7"/>
  <c r="H20" i="7"/>
  <c r="G21" i="7"/>
  <c r="H21" i="7"/>
  <c r="G22" i="7"/>
  <c r="H22" i="7"/>
  <c r="O23" i="7"/>
  <c r="O21" i="7"/>
  <c r="O22" i="7"/>
  <c r="U21" i="7"/>
  <c r="D11" i="7"/>
  <c r="O20" i="7"/>
  <c r="U20" i="7"/>
  <c r="D10" i="7"/>
  <c r="D19" i="7"/>
  <c r="K19" i="7"/>
  <c r="AI12" i="7"/>
  <c r="N8" i="7"/>
  <c r="AH12" i="7"/>
  <c r="AM12" i="7"/>
  <c r="R8" i="7"/>
  <c r="AG12" i="7"/>
  <c r="O19" i="7"/>
  <c r="U19" i="7"/>
  <c r="C19" i="7"/>
  <c r="M25" i="7"/>
  <c r="G25" i="7"/>
  <c r="J27" i="7"/>
  <c r="E52" i="8"/>
  <c r="H38" i="8"/>
  <c r="E33" i="8"/>
  <c r="BB20" i="7"/>
  <c r="AS21" i="7"/>
  <c r="AS26" i="7"/>
  <c r="AS13" i="7"/>
  <c r="AS14" i="7"/>
  <c r="AS18" i="7"/>
  <c r="AA14" i="8"/>
  <c r="Z14" i="8"/>
  <c r="Y14" i="8"/>
  <c r="X14" i="8"/>
  <c r="V14" i="8"/>
  <c r="U14" i="8"/>
  <c r="C50" i="7"/>
  <c r="C51" i="7"/>
  <c r="C48" i="7"/>
  <c r="C49" i="7"/>
  <c r="L2" i="9"/>
  <c r="V19" i="9"/>
  <c r="W19" i="9"/>
  <c r="B19" i="9"/>
  <c r="J7" i="9"/>
  <c r="P11" i="9"/>
  <c r="J11" i="9"/>
  <c r="P14" i="9"/>
  <c r="F8" i="9" a="1"/>
  <c r="H8" i="9"/>
  <c r="N8" i="9"/>
  <c r="BS29" i="4"/>
  <c r="V15" i="9"/>
  <c r="J22" i="9"/>
  <c r="P22" i="9"/>
  <c r="I7" i="9"/>
  <c r="O11" i="9"/>
  <c r="I11" i="9"/>
  <c r="O14" i="9"/>
  <c r="I22" i="9"/>
  <c r="O22" i="9"/>
  <c r="H7" i="9"/>
  <c r="N11" i="9"/>
  <c r="N14" i="9"/>
  <c r="H22" i="9"/>
  <c r="N22" i="9"/>
  <c r="G7" i="9"/>
  <c r="G22" i="9"/>
  <c r="M22" i="9"/>
  <c r="M14" i="9"/>
  <c r="F7" i="9"/>
  <c r="BC7" i="6"/>
  <c r="BD4" i="6"/>
  <c r="T10" i="6"/>
  <c r="V10" i="6"/>
  <c r="W10" i="6"/>
  <c r="Y10" i="6"/>
  <c r="W5" i="6"/>
  <c r="W11" i="6"/>
  <c r="C10" i="4"/>
  <c r="AK4" i="6"/>
  <c r="AN4" i="6"/>
  <c r="AQ4" i="6"/>
  <c r="AW5" i="6"/>
  <c r="AW10" i="6"/>
  <c r="AX14" i="6"/>
  <c r="BC14" i="6"/>
  <c r="BB5" i="6"/>
  <c r="AJ5" i="6"/>
  <c r="AJ12" i="6"/>
  <c r="AI10" i="6"/>
  <c r="AJ10" i="6"/>
  <c r="AL10" i="6"/>
  <c r="AM10" i="6"/>
  <c r="AO8" i="6"/>
  <c r="U21" i="9"/>
  <c r="BN28" i="4"/>
  <c r="CG11" i="4"/>
  <c r="BS26" i="4"/>
  <c r="BU26" i="4"/>
  <c r="BV26" i="4"/>
  <c r="W33" i="9"/>
  <c r="B33" i="9"/>
  <c r="W20" i="9"/>
  <c r="B20" i="9"/>
  <c r="P7" i="9"/>
  <c r="O7" i="9"/>
  <c r="N7" i="9"/>
  <c r="M7" i="9"/>
  <c r="L7" i="9"/>
  <c r="P6" i="9"/>
  <c r="O6" i="9"/>
  <c r="N6" i="9"/>
  <c r="M6" i="9"/>
  <c r="L6" i="9"/>
  <c r="J31" i="9"/>
  <c r="I31" i="9"/>
  <c r="H31" i="9"/>
  <c r="DH11" i="4"/>
  <c r="DG11" i="4"/>
  <c r="DH10" i="4"/>
  <c r="DG10" i="4"/>
  <c r="DD7" i="4"/>
  <c r="DC7" i="4"/>
  <c r="BS25" i="4"/>
  <c r="BN29" i="4"/>
  <c r="BW28" i="4"/>
  <c r="BW29" i="4"/>
  <c r="H14" i="8"/>
  <c r="X1" i="8"/>
  <c r="Y1" i="8"/>
  <c r="V1" i="8"/>
  <c r="V8" i="8"/>
  <c r="V9" i="8"/>
  <c r="V10" i="8"/>
  <c r="V11" i="8"/>
  <c r="AA1" i="8"/>
  <c r="AB25" i="8"/>
  <c r="AD13" i="8"/>
  <c r="AD1" i="8"/>
  <c r="AC1" i="8"/>
  <c r="V17" i="8"/>
  <c r="S7" i="8"/>
  <c r="S17" i="8"/>
  <c r="W4" i="8"/>
  <c r="W14" i="8"/>
  <c r="T4" i="8"/>
  <c r="T14" i="8"/>
  <c r="S4" i="8"/>
  <c r="S14" i="8"/>
  <c r="K57" i="8"/>
  <c r="K39" i="8"/>
  <c r="A54" i="8"/>
  <c r="A53" i="8"/>
  <c r="A35" i="8"/>
  <c r="A36" i="8"/>
  <c r="A58" i="8"/>
  <c r="A55" i="8"/>
  <c r="A48" i="8"/>
  <c r="J57" i="8"/>
  <c r="J39" i="8"/>
  <c r="F51" i="8"/>
  <c r="E51" i="8"/>
  <c r="H51" i="8"/>
  <c r="E47" i="8"/>
  <c r="E46" i="8"/>
  <c r="G46" i="8"/>
  <c r="D40" i="8"/>
  <c r="E32" i="8"/>
  <c r="M34" i="8"/>
  <c r="I58" i="8"/>
  <c r="J6" i="8"/>
  <c r="H6" i="8"/>
  <c r="G6" i="8"/>
  <c r="F6" i="8"/>
  <c r="I24" i="8"/>
  <c r="J24" i="8"/>
  <c r="I23" i="8"/>
  <c r="F23" i="8"/>
  <c r="I22" i="8"/>
  <c r="G22" i="8"/>
  <c r="I21" i="8"/>
  <c r="H21" i="8"/>
  <c r="I20" i="8"/>
  <c r="G14" i="8"/>
  <c r="F14" i="8"/>
  <c r="C55" i="7"/>
  <c r="U23" i="7"/>
  <c r="U22" i="7"/>
  <c r="I59" i="7"/>
  <c r="AN8" i="7"/>
  <c r="I55" i="7"/>
  <c r="AS22" i="7"/>
  <c r="H23" i="7"/>
  <c r="G23" i="7"/>
  <c r="Y6" i="7"/>
  <c r="R27" i="7"/>
  <c r="Z6" i="7"/>
  <c r="H27" i="7"/>
  <c r="O2" i="7"/>
  <c r="X6" i="7"/>
  <c r="V6" i="7"/>
  <c r="Q8" i="7"/>
  <c r="P8" i="7"/>
  <c r="M8" i="7"/>
  <c r="L8" i="7"/>
  <c r="K8" i="7"/>
  <c r="O8" i="7"/>
  <c r="F14" i="7"/>
  <c r="E14" i="7"/>
  <c r="F13" i="7"/>
  <c r="F12" i="7"/>
  <c r="F11" i="7"/>
  <c r="E11" i="7"/>
  <c r="F10" i="7"/>
  <c r="E10" i="7"/>
  <c r="F8" i="7"/>
  <c r="E8" i="7"/>
  <c r="D8" i="7"/>
  <c r="J8" i="7"/>
  <c r="I8" i="7"/>
  <c r="H8" i="7"/>
  <c r="G8" i="7"/>
  <c r="AC8" i="4"/>
  <c r="BO29" i="4"/>
  <c r="BI1" i="4"/>
  <c r="BI2" i="4"/>
  <c r="BJ1" i="4"/>
  <c r="BJ2" i="4"/>
  <c r="BL15" i="4"/>
  <c r="DJ20" i="4"/>
  <c r="DK20" i="4"/>
  <c r="BK15" i="4"/>
  <c r="BW22" i="4"/>
  <c r="BW24" i="4"/>
  <c r="DJ7" i="4"/>
  <c r="DL7" i="4"/>
  <c r="DK7" i="4"/>
  <c r="DI8" i="4"/>
  <c r="DI18" i="4"/>
  <c r="J8" i="4"/>
  <c r="BI22" i="4"/>
  <c r="BI29" i="4"/>
  <c r="BJ29" i="4"/>
  <c r="BI28" i="4"/>
  <c r="DF20" i="4"/>
  <c r="CI6" i="4"/>
  <c r="K8" i="4"/>
  <c r="B10" i="4"/>
  <c r="B8" i="4"/>
  <c r="BJ6" i="4"/>
  <c r="BK22" i="4"/>
  <c r="T6" i="7"/>
  <c r="CJ6" i="4"/>
  <c r="CK6" i="4"/>
  <c r="CH7" i="4"/>
  <c r="U6" i="7"/>
  <c r="CT7" i="4"/>
  <c r="AA6" i="7"/>
  <c r="K27" i="7"/>
  <c r="CU7" i="4"/>
  <c r="AB6" i="7"/>
  <c r="CH10" i="4"/>
  <c r="CH13" i="4"/>
  <c r="U13" i="7"/>
  <c r="CH14" i="4"/>
  <c r="U14" i="7"/>
  <c r="S9" i="8"/>
  <c r="S19" i="8"/>
  <c r="B12" i="4"/>
  <c r="D12" i="4"/>
  <c r="B11" i="4"/>
  <c r="D11" i="4"/>
  <c r="S8" i="8"/>
  <c r="S18" i="8"/>
  <c r="C38" i="7"/>
  <c r="AS23" i="7"/>
  <c r="G51" i="8"/>
  <c r="F46" i="8"/>
  <c r="F32" i="8"/>
  <c r="H46" i="8"/>
  <c r="H32" i="8"/>
  <c r="D10" i="4"/>
  <c r="T7" i="8"/>
  <c r="AD10" i="6"/>
  <c r="W11" i="7"/>
  <c r="W20" i="7"/>
  <c r="CQ11" i="4"/>
  <c r="CG7" i="4"/>
  <c r="B20" i="6"/>
  <c r="W14" i="6"/>
  <c r="AD69" i="11"/>
  <c r="AW12" i="11"/>
  <c r="BF12" i="11"/>
  <c r="AD55" i="11"/>
  <c r="E18" i="8"/>
  <c r="CA13" i="4"/>
  <c r="CM13" i="4"/>
  <c r="I13" i="4"/>
  <c r="T13" i="11"/>
  <c r="AE31" i="11"/>
  <c r="AF31" i="11"/>
  <c r="AF59" i="11"/>
  <c r="AG50" i="11"/>
  <c r="F22" i="8"/>
  <c r="H24" i="8"/>
  <c r="F21" i="8"/>
  <c r="CG14" i="4"/>
  <c r="I27" i="7"/>
  <c r="H22" i="8"/>
  <c r="CG12" i="4"/>
  <c r="J22" i="8"/>
  <c r="AN10" i="6"/>
  <c r="B26" i="6"/>
  <c r="G27" i="7"/>
  <c r="M27" i="7"/>
  <c r="G24" i="8"/>
  <c r="AU10" i="6"/>
  <c r="BI17" i="4"/>
  <c r="H23" i="8"/>
  <c r="G23" i="8"/>
  <c r="W12" i="6"/>
  <c r="T9" i="8"/>
  <c r="T19" i="8"/>
  <c r="AJ13" i="6"/>
  <c r="CG10" i="4"/>
  <c r="CF14" i="4"/>
  <c r="I8" i="9"/>
  <c r="I20" i="9"/>
  <c r="O20" i="9"/>
  <c r="F8" i="9"/>
  <c r="L8" i="9"/>
  <c r="J8" i="9"/>
  <c r="P8" i="9"/>
  <c r="G8" i="9"/>
  <c r="M8" i="9"/>
  <c r="CF11" i="4"/>
  <c r="X10" i="6"/>
  <c r="AB10" i="6"/>
  <c r="CF12" i="4"/>
  <c r="I23" i="7"/>
  <c r="I22" i="7"/>
  <c r="I20" i="7"/>
  <c r="CF10" i="4"/>
  <c r="AM11" i="6"/>
  <c r="AW12" i="6"/>
  <c r="K10" i="7"/>
  <c r="L10" i="7"/>
  <c r="B25" i="6"/>
  <c r="J23" i="8"/>
  <c r="F24" i="8"/>
  <c r="BB11" i="6"/>
  <c r="Z10" i="6"/>
  <c r="T11" i="6"/>
  <c r="I21" i="7"/>
  <c r="I19" i="7"/>
  <c r="J20" i="7"/>
  <c r="AM12" i="6"/>
  <c r="AW14" i="6"/>
  <c r="AM13" i="6"/>
  <c r="AM14" i="6"/>
  <c r="AW11" i="6"/>
  <c r="BB14" i="6"/>
  <c r="W13" i="6"/>
  <c r="AJ11" i="6"/>
  <c r="AJ14" i="6"/>
  <c r="BB13" i="6"/>
  <c r="DI11" i="4"/>
  <c r="DJ11" i="4"/>
  <c r="DI10" i="4"/>
  <c r="DJ10" i="4"/>
  <c r="J20" i="8"/>
  <c r="F20" i="8"/>
  <c r="G20" i="8"/>
  <c r="H20" i="8"/>
  <c r="CG13" i="4"/>
  <c r="L19" i="7"/>
  <c r="CH11" i="4"/>
  <c r="BO28" i="4"/>
  <c r="CD7" i="4"/>
  <c r="D38" i="8"/>
  <c r="M26" i="8"/>
  <c r="AK12" i="7"/>
  <c r="AL12" i="7"/>
  <c r="N27" i="7"/>
  <c r="O26" i="7"/>
  <c r="Z1" i="8"/>
  <c r="BT26" i="4"/>
  <c r="U22" i="9"/>
  <c r="D12" i="7"/>
  <c r="K11" i="7"/>
  <c r="D20" i="7"/>
  <c r="K20" i="7"/>
  <c r="U10" i="7"/>
  <c r="B22" i="6"/>
  <c r="S27" i="7"/>
  <c r="C54" i="7"/>
  <c r="J21" i="8"/>
  <c r="G21" i="8"/>
  <c r="AK10" i="6"/>
  <c r="AW13" i="6"/>
  <c r="BB10" i="6"/>
  <c r="BB12" i="6"/>
  <c r="T8" i="8"/>
  <c r="G32" i="8"/>
  <c r="H11" i="9"/>
  <c r="AS17" i="7"/>
  <c r="J14" i="10"/>
  <c r="K14" i="10"/>
  <c r="T17" i="8"/>
  <c r="X17" i="8"/>
  <c r="X7" i="8"/>
  <c r="E10" i="4"/>
  <c r="J10" i="4"/>
  <c r="W6" i="7"/>
  <c r="CQ7" i="4"/>
  <c r="W13" i="7"/>
  <c r="W22" i="7"/>
  <c r="CQ13" i="4"/>
  <c r="T11" i="7"/>
  <c r="T20" i="7"/>
  <c r="CP11" i="4"/>
  <c r="W14" i="7"/>
  <c r="W23" i="7"/>
  <c r="CQ14" i="4"/>
  <c r="T10" i="7"/>
  <c r="T19" i="7"/>
  <c r="CP10" i="4"/>
  <c r="T12" i="7"/>
  <c r="T21" i="7"/>
  <c r="AK15" i="7"/>
  <c r="AL15" i="7"/>
  <c r="CP12" i="4"/>
  <c r="W12" i="7"/>
  <c r="W21" i="7"/>
  <c r="CQ12" i="4"/>
  <c r="T14" i="7"/>
  <c r="T23" i="7"/>
  <c r="AK17" i="7"/>
  <c r="AL17" i="7"/>
  <c r="CP14" i="4"/>
  <c r="W10" i="7"/>
  <c r="W19" i="7"/>
  <c r="CQ10" i="4"/>
  <c r="AP10" i="6"/>
  <c r="AQ10" i="6"/>
  <c r="AR10" i="6"/>
  <c r="AY10" i="6"/>
  <c r="CA14" i="4"/>
  <c r="CM14" i="4"/>
  <c r="I14" i="4"/>
  <c r="E19" i="8"/>
  <c r="T14" i="11"/>
  <c r="AD70" i="11"/>
  <c r="AW13" i="11"/>
  <c r="BF13" i="11"/>
  <c r="AD56" i="11"/>
  <c r="AG53" i="11"/>
  <c r="AG54" i="11"/>
  <c r="AG56" i="11"/>
  <c r="AG57" i="11"/>
  <c r="X9" i="8"/>
  <c r="AL11" i="6"/>
  <c r="AN11" i="6"/>
  <c r="J16" i="10"/>
  <c r="I15" i="9"/>
  <c r="O15" i="9"/>
  <c r="O23" i="9"/>
  <c r="J15" i="9"/>
  <c r="P15" i="9"/>
  <c r="P23" i="9"/>
  <c r="J20" i="9"/>
  <c r="P20" i="9"/>
  <c r="O8" i="9"/>
  <c r="H25" i="8"/>
  <c r="H33" i="8"/>
  <c r="H34" i="8"/>
  <c r="H26" i="8"/>
  <c r="H47" i="8"/>
  <c r="H48" i="8"/>
  <c r="D21" i="7"/>
  <c r="K21" i="7"/>
  <c r="K12" i="7"/>
  <c r="J21" i="7"/>
  <c r="G26" i="8"/>
  <c r="G47" i="8"/>
  <c r="G48" i="8"/>
  <c r="G25" i="8"/>
  <c r="L20" i="7"/>
  <c r="CH12" i="4"/>
  <c r="AS11" i="7"/>
  <c r="C53" i="7"/>
  <c r="D13" i="7"/>
  <c r="S10" i="8"/>
  <c r="S20" i="8"/>
  <c r="B13" i="4"/>
  <c r="DK10" i="4"/>
  <c r="DL10" i="4"/>
  <c r="DB10" i="4"/>
  <c r="DC10" i="4"/>
  <c r="DD10" i="4"/>
  <c r="I54" i="7"/>
  <c r="I53" i="7"/>
  <c r="I58" i="7"/>
  <c r="I57" i="7"/>
  <c r="AU11" i="6"/>
  <c r="S11" i="6"/>
  <c r="V21" i="9"/>
  <c r="CF13" i="4"/>
  <c r="DK11" i="4"/>
  <c r="DL11" i="4"/>
  <c r="DB11" i="4"/>
  <c r="DC11" i="4"/>
  <c r="DD11" i="4"/>
  <c r="T18" i="8"/>
  <c r="X8" i="8"/>
  <c r="U11" i="7"/>
  <c r="B23" i="6"/>
  <c r="P19" i="7"/>
  <c r="F25" i="8"/>
  <c r="F26" i="8"/>
  <c r="F47" i="8"/>
  <c r="F48" i="8"/>
  <c r="D13" i="4"/>
  <c r="T10" i="8"/>
  <c r="AG11" i="6"/>
  <c r="AA11" i="6"/>
  <c r="N30" i="7"/>
  <c r="O30" i="7"/>
  <c r="T13" i="7"/>
  <c r="T22" i="7"/>
  <c r="AK16" i="7"/>
  <c r="AL16" i="7"/>
  <c r="CP13" i="4"/>
  <c r="AD71" i="11"/>
  <c r="AW14" i="11"/>
  <c r="BF14" i="11"/>
  <c r="AD57" i="11"/>
  <c r="P15" i="10"/>
  <c r="H11" i="7"/>
  <c r="H10" i="7"/>
  <c r="AG55" i="11"/>
  <c r="AF69" i="11"/>
  <c r="AI14" i="11"/>
  <c r="AY14" i="11"/>
  <c r="AI13" i="11"/>
  <c r="AY13" i="11"/>
  <c r="AI11" i="11"/>
  <c r="AI54" i="11"/>
  <c r="AY11" i="11"/>
  <c r="AY12" i="11"/>
  <c r="AI12" i="11"/>
  <c r="AY10" i="11"/>
  <c r="AI10" i="11"/>
  <c r="K16" i="10"/>
  <c r="H52" i="8"/>
  <c r="H53" i="8"/>
  <c r="P20" i="7"/>
  <c r="V22" i="9"/>
  <c r="W22" i="9"/>
  <c r="B22" i="9"/>
  <c r="W21" i="9"/>
  <c r="B21" i="9"/>
  <c r="H13" i="7"/>
  <c r="D22" i="7"/>
  <c r="K22" i="7"/>
  <c r="K13" i="7"/>
  <c r="S12" i="6"/>
  <c r="AU12" i="6"/>
  <c r="J22" i="7"/>
  <c r="F33" i="8"/>
  <c r="F34" i="8"/>
  <c r="F52" i="8"/>
  <c r="F53" i="8"/>
  <c r="D14" i="7"/>
  <c r="B14" i="4"/>
  <c r="S11" i="8"/>
  <c r="S21" i="8"/>
  <c r="U12" i="7"/>
  <c r="B24" i="6"/>
  <c r="G33" i="8"/>
  <c r="G34" i="8"/>
  <c r="G52" i="8"/>
  <c r="G53" i="8"/>
  <c r="L21" i="7"/>
  <c r="N12" i="10"/>
  <c r="BA12" i="6"/>
  <c r="N13" i="10"/>
  <c r="BA13" i="6"/>
  <c r="T20" i="8"/>
  <c r="X10" i="8"/>
  <c r="D14" i="4"/>
  <c r="T11" i="8"/>
  <c r="AG12" i="6"/>
  <c r="AA12" i="6"/>
  <c r="M16" i="10"/>
  <c r="U20" i="8"/>
  <c r="G13" i="7"/>
  <c r="I13" i="7"/>
  <c r="H12" i="7"/>
  <c r="N11" i="10"/>
  <c r="G11" i="7"/>
  <c r="I11" i="7"/>
  <c r="U18" i="8"/>
  <c r="G14" i="7"/>
  <c r="U21" i="8"/>
  <c r="N14" i="10"/>
  <c r="P14" i="10"/>
  <c r="P13" i="10"/>
  <c r="N10" i="10"/>
  <c r="G10" i="7"/>
  <c r="I10" i="7"/>
  <c r="J11" i="7"/>
  <c r="L11" i="7"/>
  <c r="U17" i="8"/>
  <c r="V18" i="8"/>
  <c r="X18" i="8"/>
  <c r="G12" i="7"/>
  <c r="U19" i="8"/>
  <c r="L16" i="10"/>
  <c r="AG59" i="11"/>
  <c r="AF73" i="11"/>
  <c r="BA14" i="11"/>
  <c r="AI57" i="11"/>
  <c r="BA12" i="11"/>
  <c r="AI55" i="11"/>
  <c r="BA10" i="11"/>
  <c r="AI53" i="11"/>
  <c r="BA13" i="11"/>
  <c r="AI56" i="11"/>
  <c r="AI16" i="11"/>
  <c r="BA11" i="11"/>
  <c r="L53" i="8"/>
  <c r="M53" i="8"/>
  <c r="J54" i="8"/>
  <c r="J35" i="8"/>
  <c r="J40" i="8"/>
  <c r="K40" i="8"/>
  <c r="P21" i="7"/>
  <c r="AO13" i="6"/>
  <c r="D23" i="7"/>
  <c r="K23" i="7"/>
  <c r="K14" i="7"/>
  <c r="S13" i="6"/>
  <c r="AU13" i="6"/>
  <c r="L22" i="7"/>
  <c r="J23" i="7"/>
  <c r="H14" i="7"/>
  <c r="AO12" i="6"/>
  <c r="P12" i="10"/>
  <c r="P11" i="10"/>
  <c r="P10" i="10"/>
  <c r="P16" i="10"/>
  <c r="I14" i="7"/>
  <c r="X11" i="8"/>
  <c r="T21" i="8"/>
  <c r="N16" i="10"/>
  <c r="AG13" i="6"/>
  <c r="AA13" i="6"/>
  <c r="AO11" i="6"/>
  <c r="BA11" i="6"/>
  <c r="O11" i="10"/>
  <c r="C11" i="4"/>
  <c r="BA10" i="6"/>
  <c r="AO10" i="6"/>
  <c r="V19" i="8"/>
  <c r="I12" i="7"/>
  <c r="J12" i="7"/>
  <c r="L12" i="7"/>
  <c r="BA16" i="11"/>
  <c r="BI15" i="11"/>
  <c r="L23" i="7"/>
  <c r="M22" i="7"/>
  <c r="N22" i="7"/>
  <c r="P22" i="7"/>
  <c r="AU14" i="6"/>
  <c r="S14" i="6"/>
  <c r="H54" i="8"/>
  <c r="J55" i="8"/>
  <c r="J58" i="8"/>
  <c r="K58" i="8"/>
  <c r="AO14" i="6"/>
  <c r="BA14" i="6"/>
  <c r="BD14" i="6"/>
  <c r="F54" i="8"/>
  <c r="G54" i="8"/>
  <c r="AG14" i="6"/>
  <c r="AA14" i="6"/>
  <c r="J13" i="7"/>
  <c r="L13" i="7"/>
  <c r="X19" i="8"/>
  <c r="V20" i="8"/>
  <c r="O12" i="10"/>
  <c r="E11" i="4"/>
  <c r="J11" i="4"/>
  <c r="X11" i="6"/>
  <c r="BI13" i="11"/>
  <c r="BI14" i="11"/>
  <c r="BI11" i="11"/>
  <c r="BJ15" i="11"/>
  <c r="BI12" i="11"/>
  <c r="BI10" i="11"/>
  <c r="M23" i="7"/>
  <c r="N23" i="7"/>
  <c r="AH17" i="7"/>
  <c r="AM17" i="7"/>
  <c r="M21" i="7"/>
  <c r="N21" i="7"/>
  <c r="V21" i="7"/>
  <c r="M19" i="7"/>
  <c r="N19" i="7"/>
  <c r="V19" i="7"/>
  <c r="M20" i="7"/>
  <c r="N20" i="7"/>
  <c r="V20" i="7"/>
  <c r="P23" i="7"/>
  <c r="Q23" i="7"/>
  <c r="R23" i="7"/>
  <c r="AG17" i="7"/>
  <c r="H10" i="6"/>
  <c r="Y55" i="13"/>
  <c r="K10" i="6"/>
  <c r="AB55" i="13"/>
  <c r="K12" i="6"/>
  <c r="AB57" i="13"/>
  <c r="K13" i="6"/>
  <c r="AB58" i="13"/>
  <c r="K11" i="6"/>
  <c r="AB56" i="13"/>
  <c r="H22" i="6"/>
  <c r="AL55" i="13"/>
  <c r="J10" i="6"/>
  <c r="AA55" i="13"/>
  <c r="J12" i="6"/>
  <c r="AA57" i="13"/>
  <c r="J11" i="6"/>
  <c r="AA56" i="13"/>
  <c r="I10" i="6"/>
  <c r="Z55" i="13"/>
  <c r="I11" i="6"/>
  <c r="Z56" i="13"/>
  <c r="K25" i="6"/>
  <c r="AO58" i="13"/>
  <c r="K23" i="6"/>
  <c r="AO56" i="13"/>
  <c r="K24" i="6"/>
  <c r="AO57" i="13"/>
  <c r="K22" i="6"/>
  <c r="AO55" i="13"/>
  <c r="I22" i="6"/>
  <c r="AM55" i="13"/>
  <c r="I23" i="6"/>
  <c r="AM56" i="13"/>
  <c r="AH16" i="7"/>
  <c r="AM16" i="7"/>
  <c r="V22" i="7"/>
  <c r="J24" i="6"/>
  <c r="AN57" i="13"/>
  <c r="J22" i="6"/>
  <c r="AN55" i="13"/>
  <c r="J23" i="6"/>
  <c r="AN56" i="13"/>
  <c r="J14" i="7"/>
  <c r="L14" i="7"/>
  <c r="M13" i="7"/>
  <c r="N13" i="7"/>
  <c r="V13" i="7"/>
  <c r="Y11" i="6"/>
  <c r="AB11" i="6"/>
  <c r="V21" i="8"/>
  <c r="X21" i="8"/>
  <c r="X20" i="8"/>
  <c r="O13" i="10"/>
  <c r="C12" i="4"/>
  <c r="BJ11" i="11"/>
  <c r="BJ12" i="11"/>
  <c r="BJ14" i="11"/>
  <c r="BJ10" i="11"/>
  <c r="BJ13" i="11"/>
  <c r="V23" i="7"/>
  <c r="Q20" i="7"/>
  <c r="R20" i="7"/>
  <c r="S20" i="7"/>
  <c r="X19" i="7"/>
  <c r="Y19" i="7"/>
  <c r="M30" i="7"/>
  <c r="O40" i="7"/>
  <c r="AH15" i="7"/>
  <c r="AM15" i="7"/>
  <c r="S23" i="7"/>
  <c r="Q19" i="7"/>
  <c r="R19" i="7"/>
  <c r="S19" i="7"/>
  <c r="Q22" i="7"/>
  <c r="R22" i="7"/>
  <c r="S22" i="7"/>
  <c r="Q21" i="7"/>
  <c r="R21" i="7"/>
  <c r="M10" i="7"/>
  <c r="N10" i="7"/>
  <c r="V10" i="7"/>
  <c r="M11" i="7"/>
  <c r="N11" i="7"/>
  <c r="V11" i="7"/>
  <c r="M14" i="7"/>
  <c r="N14" i="7"/>
  <c r="V14" i="7"/>
  <c r="M12" i="7"/>
  <c r="N12" i="7"/>
  <c r="I30" i="7"/>
  <c r="BJ16" i="11"/>
  <c r="AC11" i="6"/>
  <c r="X12" i="6"/>
  <c r="E12" i="4"/>
  <c r="O14" i="10"/>
  <c r="C13" i="4"/>
  <c r="X23" i="7"/>
  <c r="Y23" i="7"/>
  <c r="Z23" i="7"/>
  <c r="AA23" i="7"/>
  <c r="AB23" i="7"/>
  <c r="X20" i="7"/>
  <c r="Y20" i="7"/>
  <c r="Z20" i="7"/>
  <c r="AA20" i="7"/>
  <c r="AB20" i="7"/>
  <c r="X21" i="7"/>
  <c r="Y21" i="7"/>
  <c r="R30" i="7"/>
  <c r="N44" i="7"/>
  <c r="X22" i="7"/>
  <c r="Y22" i="7"/>
  <c r="Z22" i="7"/>
  <c r="AA22" i="7"/>
  <c r="AB22" i="7"/>
  <c r="H40" i="7"/>
  <c r="AG16" i="7"/>
  <c r="Z19" i="7"/>
  <c r="AA19" i="7"/>
  <c r="AB19" i="7"/>
  <c r="M54" i="7"/>
  <c r="AG15" i="7"/>
  <c r="S21" i="7"/>
  <c r="Q30" i="7"/>
  <c r="N42" i="7"/>
  <c r="V12" i="7"/>
  <c r="Y12" i="6"/>
  <c r="AB12" i="6"/>
  <c r="X13" i="6"/>
  <c r="AB13" i="6"/>
  <c r="E13" i="4"/>
  <c r="O16" i="10"/>
  <c r="C14" i="4"/>
  <c r="J12" i="4"/>
  <c r="H44" i="7"/>
  <c r="Z21" i="7"/>
  <c r="AI9" i="7"/>
  <c r="H42" i="7"/>
  <c r="AC13" i="6"/>
  <c r="AC12" i="6"/>
  <c r="E14" i="4"/>
  <c r="F11" i="4"/>
  <c r="G11" i="4"/>
  <c r="V11" i="4"/>
  <c r="X14" i="6"/>
  <c r="J13" i="4"/>
  <c r="Y13" i="6"/>
  <c r="AA21" i="7"/>
  <c r="AB21" i="7"/>
  <c r="AI17" i="7"/>
  <c r="AI15" i="7"/>
  <c r="AI16" i="7"/>
  <c r="Y14" i="6"/>
  <c r="AB14" i="6"/>
  <c r="AC14" i="6"/>
  <c r="F13" i="4"/>
  <c r="G13" i="4"/>
  <c r="V13" i="4"/>
  <c r="R11" i="4"/>
  <c r="AN11" i="4"/>
  <c r="AS11" i="4"/>
  <c r="AC11" i="4"/>
  <c r="F14" i="4"/>
  <c r="J14" i="4"/>
  <c r="F12" i="4"/>
  <c r="G12" i="4"/>
  <c r="V12" i="4"/>
  <c r="F10" i="4"/>
  <c r="G10" i="4"/>
  <c r="V10" i="4"/>
  <c r="S30" i="7"/>
  <c r="M58" i="7"/>
  <c r="N49" i="7"/>
  <c r="D23" i="6"/>
  <c r="CD11" i="4"/>
  <c r="CJ11" i="4"/>
  <c r="D11" i="6"/>
  <c r="G14" i="4"/>
  <c r="V14" i="4"/>
  <c r="R13" i="4"/>
  <c r="AN13" i="4"/>
  <c r="AS13" i="4"/>
  <c r="BP29" i="4"/>
  <c r="BP28" i="4"/>
  <c r="R12" i="4"/>
  <c r="AN12" i="4"/>
  <c r="AS12" i="4"/>
  <c r="AC12" i="4"/>
  <c r="AC10" i="4"/>
  <c r="R10" i="4"/>
  <c r="AN10" i="4"/>
  <c r="AS10" i="4"/>
  <c r="R14" i="4"/>
  <c r="D22" i="6"/>
  <c r="D10" i="6"/>
  <c r="CD10" i="4"/>
  <c r="CJ10" i="4"/>
  <c r="CD13" i="4"/>
  <c r="CJ13" i="4"/>
  <c r="D13" i="6"/>
  <c r="D25" i="6"/>
  <c r="D12" i="6"/>
  <c r="D24" i="6"/>
  <c r="CD12" i="4"/>
  <c r="CJ12" i="4"/>
  <c r="CD14" i="4"/>
  <c r="CJ14" i="4"/>
  <c r="AC14" i="4"/>
  <c r="AC13" i="4"/>
  <c r="D26" i="6"/>
  <c r="AN14" i="4"/>
  <c r="AS14" i="4"/>
  <c r="D14" i="6"/>
  <c r="CE7" i="4"/>
  <c r="S8" i="7"/>
  <c r="Q27" i="7"/>
  <c r="BG16" i="13"/>
  <c r="BH16" i="13"/>
  <c r="BI16" i="13"/>
  <c r="BC16" i="13"/>
  <c r="BD16" i="13"/>
  <c r="BE16" i="13"/>
  <c r="AY16" i="13"/>
  <c r="AZ16" i="13"/>
  <c r="BA16" i="13"/>
  <c r="AH17" i="11"/>
  <c r="AH18" i="11"/>
  <c r="AO24" i="11"/>
  <c r="AP24" i="11"/>
  <c r="BC16" i="11"/>
  <c r="BC11" i="11"/>
  <c r="L11" i="4"/>
  <c r="BC12" i="11"/>
  <c r="L12" i="4"/>
  <c r="BC13" i="11"/>
  <c r="L13" i="4"/>
  <c r="BC14" i="11"/>
  <c r="L14" i="4"/>
  <c r="M11" i="4"/>
  <c r="N11" i="4"/>
  <c r="Q11" i="4"/>
  <c r="C23" i="6"/>
  <c r="M14" i="4"/>
  <c r="N14" i="4"/>
  <c r="Q14" i="4"/>
  <c r="C26" i="6"/>
  <c r="M13" i="4"/>
  <c r="N13" i="4"/>
  <c r="Q13" i="4"/>
  <c r="C25" i="6"/>
  <c r="M12" i="4"/>
  <c r="N12" i="4"/>
  <c r="Q12" i="4"/>
  <c r="C24" i="6"/>
  <c r="BC10" i="11"/>
  <c r="L10" i="4"/>
  <c r="M10" i="4"/>
  <c r="N10" i="4"/>
  <c r="Q10" i="4"/>
  <c r="S10" i="4"/>
  <c r="F13" i="9"/>
  <c r="AD10" i="4"/>
  <c r="S11" i="4"/>
  <c r="AD11" i="4"/>
  <c r="BL28" i="4"/>
  <c r="BQ28" i="4"/>
  <c r="BR28" i="4"/>
  <c r="AF10" i="4"/>
  <c r="AH10" i="4"/>
  <c r="AI10" i="4"/>
  <c r="W10" i="4"/>
  <c r="X10" i="4"/>
  <c r="F14" i="9"/>
  <c r="BS28" i="4"/>
  <c r="U15" i="9"/>
  <c r="F15" i="9"/>
  <c r="BT28" i="4"/>
  <c r="U16" i="9"/>
  <c r="F16" i="9"/>
  <c r="BU28" i="4"/>
  <c r="U17" i="9"/>
  <c r="F17" i="9"/>
  <c r="BV28" i="4"/>
  <c r="U18" i="9"/>
  <c r="F18" i="9"/>
  <c r="U24" i="9"/>
  <c r="F19" i="9"/>
  <c r="F20" i="9"/>
  <c r="F22" i="9"/>
  <c r="F21" i="9"/>
  <c r="F24" i="9"/>
  <c r="F27" i="9"/>
  <c r="F30" i="9"/>
  <c r="F31" i="9"/>
  <c r="F32" i="9"/>
  <c r="F33" i="9"/>
  <c r="F34" i="9"/>
  <c r="G13" i="9"/>
  <c r="G14" i="9"/>
  <c r="G15" i="9"/>
  <c r="G16" i="9"/>
  <c r="G17" i="9"/>
  <c r="G18" i="9"/>
  <c r="G19" i="9"/>
  <c r="G20" i="9"/>
  <c r="G21" i="9"/>
  <c r="G24" i="9"/>
  <c r="G27" i="9"/>
  <c r="G30" i="9"/>
  <c r="G31" i="9"/>
  <c r="G32" i="9"/>
  <c r="G33" i="9"/>
  <c r="G34" i="9"/>
  <c r="L11" i="9"/>
  <c r="L14" i="9"/>
  <c r="L15" i="9"/>
  <c r="L22" i="9"/>
  <c r="L23" i="9"/>
  <c r="B14" i="9"/>
  <c r="F11" i="9"/>
  <c r="F23" i="9"/>
  <c r="M11" i="9"/>
  <c r="M15" i="9"/>
  <c r="M23" i="9"/>
  <c r="F10" i="9" a="1"/>
  <c r="G10" i="9"/>
  <c r="M10" i="9"/>
  <c r="G11" i="9"/>
  <c r="G23" i="9"/>
  <c r="H13" i="9"/>
  <c r="H14" i="9"/>
  <c r="H15" i="9"/>
  <c r="H16" i="9"/>
  <c r="H17" i="9"/>
  <c r="H18" i="9"/>
  <c r="H19" i="9"/>
  <c r="H20" i="9"/>
  <c r="H21" i="9"/>
  <c r="H24" i="9"/>
  <c r="H27" i="9"/>
  <c r="H30" i="9"/>
  <c r="H32" i="9"/>
  <c r="H33" i="9"/>
  <c r="H34" i="9"/>
  <c r="F10" i="9"/>
  <c r="F12" i="9"/>
  <c r="L12" i="9"/>
  <c r="L10" i="9"/>
  <c r="J13" i="9"/>
  <c r="J14" i="9"/>
  <c r="BQ29" i="4"/>
  <c r="BT29" i="4"/>
  <c r="V16" i="9"/>
  <c r="J16" i="9"/>
  <c r="BU29" i="4"/>
  <c r="V17" i="9"/>
  <c r="J17" i="9"/>
  <c r="BV29" i="4"/>
  <c r="V18" i="9"/>
  <c r="J18" i="9"/>
  <c r="I16" i="9"/>
  <c r="I17" i="9"/>
  <c r="I18" i="9"/>
  <c r="V24" i="9"/>
  <c r="J19" i="9"/>
  <c r="J21" i="9"/>
  <c r="J24" i="9"/>
  <c r="J27" i="9"/>
  <c r="J30" i="9"/>
  <c r="J32" i="9"/>
  <c r="J33" i="9"/>
  <c r="J34" i="9"/>
  <c r="C22" i="6"/>
  <c r="I13" i="9"/>
  <c r="I14" i="9"/>
  <c r="I19" i="9"/>
  <c r="I21" i="9"/>
  <c r="I24" i="9"/>
  <c r="I27" i="9"/>
  <c r="I30" i="9"/>
  <c r="I32" i="9"/>
  <c r="I33" i="9"/>
  <c r="I34" i="9"/>
  <c r="I10" i="9"/>
  <c r="I12" i="9"/>
  <c r="O12" i="9"/>
  <c r="I23" i="9"/>
  <c r="G12" i="9"/>
  <c r="M12" i="9"/>
  <c r="H23" i="9"/>
  <c r="H10" i="9"/>
  <c r="H12" i="9"/>
  <c r="N12" i="9"/>
  <c r="J10" i="9"/>
  <c r="J12" i="9"/>
  <c r="P12" i="9"/>
  <c r="J23" i="9"/>
  <c r="L21" i="9"/>
  <c r="AV13" i="6"/>
  <c r="G7" i="6" a="1"/>
  <c r="G7" i="6"/>
  <c r="V5" i="6"/>
  <c r="U10" i="6"/>
  <c r="V11" i="6"/>
  <c r="Z11" i="6"/>
  <c r="T12" i="6"/>
  <c r="U11" i="6"/>
  <c r="V12" i="6"/>
  <c r="Z12" i="6"/>
  <c r="T13" i="6"/>
  <c r="U12" i="6"/>
  <c r="V13" i="6"/>
  <c r="Z13" i="6"/>
  <c r="T14" i="6"/>
  <c r="U13" i="6"/>
  <c r="V14" i="6"/>
  <c r="Z14" i="6"/>
  <c r="AX13" i="6"/>
  <c r="AY13" i="6"/>
  <c r="AZ13" i="6"/>
  <c r="BC13" i="6"/>
  <c r="BD13" i="6"/>
  <c r="BE13" i="6"/>
  <c r="C12" i="6"/>
  <c r="G12" i="6"/>
  <c r="X57" i="13"/>
  <c r="X13" i="13"/>
  <c r="H7" i="6"/>
  <c r="H12" i="6"/>
  <c r="Y57" i="13"/>
  <c r="Y13" i="13"/>
  <c r="AC13" i="13"/>
  <c r="X20" i="13"/>
  <c r="Y20" i="13"/>
  <c r="AC20" i="13"/>
  <c r="AC27" i="13"/>
  <c r="AC44" i="13"/>
  <c r="BF37" i="13"/>
  <c r="BF13" i="13"/>
  <c r="AD44" i="13"/>
  <c r="C11" i="6"/>
  <c r="G11" i="6"/>
  <c r="X56" i="13"/>
  <c r="X12" i="13"/>
  <c r="AC12" i="13"/>
  <c r="X19" i="13"/>
  <c r="AC19" i="13"/>
  <c r="AC26" i="13"/>
  <c r="AC43" i="13"/>
  <c r="BF36" i="13"/>
  <c r="BF12" i="13"/>
  <c r="C13" i="6"/>
  <c r="G13" i="6"/>
  <c r="X58" i="13"/>
  <c r="X14" i="13"/>
  <c r="H13" i="6"/>
  <c r="Y58" i="13"/>
  <c r="Y14" i="13"/>
  <c r="S12" i="4"/>
  <c r="AD12" i="4"/>
  <c r="I7" i="6"/>
  <c r="I13" i="6"/>
  <c r="Z58" i="13"/>
  <c r="Z14" i="13"/>
  <c r="AC14" i="13"/>
  <c r="X21" i="13"/>
  <c r="Y21" i="13"/>
  <c r="Z21" i="13"/>
  <c r="AC21" i="13"/>
  <c r="AC28" i="13"/>
  <c r="AD45" i="13"/>
  <c r="BF38" i="13"/>
  <c r="BF14" i="13"/>
  <c r="AC45" i="13"/>
  <c r="O19" i="9"/>
  <c r="N21" i="9"/>
  <c r="N19" i="9"/>
  <c r="M19" i="9"/>
  <c r="L20" i="9"/>
  <c r="M20" i="9"/>
  <c r="L19" i="9"/>
  <c r="O21" i="9"/>
  <c r="M21" i="9"/>
  <c r="P19" i="9"/>
  <c r="P21" i="9"/>
  <c r="N20" i="9"/>
  <c r="AV14" i="6"/>
  <c r="AY14" i="6"/>
  <c r="AZ14" i="6"/>
  <c r="BE14" i="6"/>
  <c r="AI5" i="6"/>
  <c r="AH13" i="6"/>
  <c r="AI14" i="6"/>
  <c r="AK14" i="6"/>
  <c r="AL14" i="6"/>
  <c r="AN14" i="6"/>
  <c r="AP14" i="6"/>
  <c r="AQ14" i="6"/>
  <c r="AR14" i="6"/>
  <c r="AD14" i="6"/>
  <c r="AV12" i="6"/>
  <c r="AX12" i="6"/>
  <c r="AY12" i="6"/>
  <c r="AZ12" i="6"/>
  <c r="BC12" i="6"/>
  <c r="BD12" i="6"/>
  <c r="BE12" i="6"/>
  <c r="AC34" i="13"/>
  <c r="AC36" i="13"/>
  <c r="AC35" i="13"/>
  <c r="C14" i="6"/>
  <c r="G14" i="6"/>
  <c r="X59" i="13"/>
  <c r="X15" i="13"/>
  <c r="H14" i="6"/>
  <c r="Y59" i="13"/>
  <c r="Y15" i="13"/>
  <c r="I14" i="6"/>
  <c r="Z59" i="13"/>
  <c r="Z15" i="13"/>
  <c r="S13" i="4"/>
  <c r="AD13" i="4"/>
  <c r="J7" i="6"/>
  <c r="J14" i="6"/>
  <c r="AA59" i="13"/>
  <c r="AA15" i="13"/>
  <c r="AC15" i="13"/>
  <c r="X22" i="13"/>
  <c r="Y22" i="13"/>
  <c r="Z22" i="13"/>
  <c r="AA22" i="13"/>
  <c r="AC22" i="13"/>
  <c r="AC29" i="13"/>
  <c r="AD46" i="13"/>
  <c r="BF39" i="13"/>
  <c r="BF15" i="13"/>
  <c r="AC46" i="13"/>
  <c r="AC37" i="13"/>
  <c r="AV11" i="6"/>
  <c r="AX11" i="6"/>
  <c r="AY11" i="6"/>
  <c r="AZ11" i="6"/>
  <c r="BC11" i="6"/>
  <c r="BD11" i="6"/>
  <c r="BE11" i="6"/>
  <c r="S14" i="4"/>
  <c r="AD14" i="4"/>
  <c r="AO14" i="4"/>
  <c r="BR29" i="4"/>
  <c r="AF14" i="4"/>
  <c r="AQ14" i="4"/>
  <c r="AT14" i="4"/>
  <c r="BB14" i="4"/>
  <c r="BA14" i="4"/>
  <c r="BC14" i="4"/>
  <c r="BD14" i="4"/>
  <c r="AO13" i="4"/>
  <c r="AF13" i="4"/>
  <c r="AQ13" i="4"/>
  <c r="AT13" i="4"/>
  <c r="BB13" i="4"/>
  <c r="BA13" i="4"/>
  <c r="BC13" i="4"/>
  <c r="BD13" i="4"/>
  <c r="AO11" i="4"/>
  <c r="AF11" i="4"/>
  <c r="AQ11" i="4"/>
  <c r="AT11" i="4"/>
  <c r="BB11" i="4"/>
  <c r="BA11" i="4"/>
  <c r="BC11" i="4"/>
  <c r="BD11" i="4"/>
  <c r="AO10" i="4"/>
  <c r="AQ10" i="4"/>
  <c r="AT10" i="4"/>
  <c r="BB10" i="4"/>
  <c r="BA10" i="4"/>
  <c r="BC10" i="4"/>
  <c r="BD10" i="4"/>
  <c r="AO12" i="4"/>
  <c r="AF12" i="4"/>
  <c r="AQ12" i="4"/>
  <c r="AT12" i="4"/>
  <c r="BB12" i="4"/>
  <c r="BA12" i="4"/>
  <c r="BC12" i="4"/>
  <c r="BD12" i="4"/>
  <c r="AH12" i="6"/>
  <c r="AI13" i="6"/>
  <c r="AK13" i="6"/>
  <c r="AL13" i="6"/>
  <c r="AN13" i="6"/>
  <c r="AP13" i="6"/>
  <c r="AQ13" i="6"/>
  <c r="AR13" i="6"/>
  <c r="AD13" i="6"/>
  <c r="X28" i="13"/>
  <c r="Z36" i="13"/>
  <c r="Z29" i="13"/>
  <c r="X27" i="13"/>
  <c r="Y35" i="13"/>
  <c r="Y29" i="13"/>
  <c r="Z28" i="13"/>
  <c r="X36" i="13"/>
  <c r="X34" i="13"/>
  <c r="X26" i="13"/>
  <c r="Y36" i="13"/>
  <c r="Z37" i="13"/>
  <c r="Y37" i="13"/>
  <c r="Y28" i="13"/>
  <c r="AV10" i="6"/>
  <c r="AX10" i="6"/>
  <c r="AZ10" i="6"/>
  <c r="BC10" i="6"/>
  <c r="BD10" i="6"/>
  <c r="BE10" i="6"/>
  <c r="AH14" i="4"/>
  <c r="AI14" i="4"/>
  <c r="W14" i="4"/>
  <c r="X14" i="4"/>
  <c r="AH12" i="4"/>
  <c r="AI12" i="4"/>
  <c r="W12" i="4"/>
  <c r="X12" i="4"/>
  <c r="AH13" i="4"/>
  <c r="AI13" i="4"/>
  <c r="W13" i="4"/>
  <c r="X13" i="4"/>
  <c r="AH11" i="4"/>
  <c r="AI11" i="4"/>
  <c r="W11" i="4"/>
  <c r="X11" i="4"/>
  <c r="BX28" i="4"/>
  <c r="BX29" i="4"/>
  <c r="BX31" i="4"/>
  <c r="BT15" i="4"/>
  <c r="AH11" i="6"/>
  <c r="AI12" i="6"/>
  <c r="AK12" i="6"/>
  <c r="AL12" i="6"/>
  <c r="AN12" i="6"/>
  <c r="AP12" i="6"/>
  <c r="AQ12" i="6"/>
  <c r="AR12" i="6"/>
  <c r="AA37" i="13"/>
  <c r="X29" i="13"/>
  <c r="AA29" i="13"/>
  <c r="X35" i="13"/>
  <c r="Y27" i="13"/>
  <c r="X37" i="13"/>
  <c r="P17" i="9"/>
  <c r="O17" i="9"/>
  <c r="O18" i="9"/>
  <c r="P18" i="9"/>
  <c r="N18" i="9"/>
  <c r="L18" i="9"/>
  <c r="M18" i="9"/>
  <c r="N15" i="9"/>
  <c r="N23" i="9"/>
  <c r="AF8" i="4"/>
  <c r="AQ8" i="4"/>
  <c r="BA8" i="4"/>
  <c r="O16" i="9"/>
  <c r="P16" i="9"/>
  <c r="L17" i="9"/>
  <c r="M17" i="9"/>
  <c r="N17" i="9"/>
  <c r="L16" i="9"/>
  <c r="M16" i="9"/>
  <c r="N16" i="9"/>
  <c r="H11" i="6"/>
  <c r="Y56" i="13"/>
  <c r="BQ9" i="4"/>
  <c r="BQ10" i="4"/>
  <c r="BR11" i="4"/>
  <c r="BS11" i="4"/>
  <c r="BT11" i="4"/>
  <c r="BQ13" i="4"/>
  <c r="BR13" i="4"/>
  <c r="BS13" i="4"/>
  <c r="BT13" i="4"/>
  <c r="CE12" i="4"/>
  <c r="CE11" i="4"/>
  <c r="CI12" i="4"/>
  <c r="CK12" i="4"/>
  <c r="CS12" i="4"/>
  <c r="CR12" i="4"/>
  <c r="CT12" i="4"/>
  <c r="CU12" i="4"/>
  <c r="CE13" i="4"/>
  <c r="CI13" i="4"/>
  <c r="CK13" i="4"/>
  <c r="CS13" i="4"/>
  <c r="CR13" i="4"/>
  <c r="CT13" i="4"/>
  <c r="CU13" i="4"/>
  <c r="CE14" i="4"/>
  <c r="CI14" i="4"/>
  <c r="CK14" i="4"/>
  <c r="CS14" i="4"/>
  <c r="CR14" i="4"/>
  <c r="CT14" i="4"/>
  <c r="CU14" i="4"/>
  <c r="CE10" i="4"/>
  <c r="CI10" i="4"/>
  <c r="CK10" i="4"/>
  <c r="CS10" i="4"/>
  <c r="CR10" i="4"/>
  <c r="CT10" i="4"/>
  <c r="CU10" i="4"/>
  <c r="CI11" i="4"/>
  <c r="CK11" i="4"/>
  <c r="CS11" i="4"/>
  <c r="CR11" i="4"/>
  <c r="CT11" i="4"/>
  <c r="CU11" i="4"/>
  <c r="AD12" i="6"/>
  <c r="AH10" i="6"/>
  <c r="AI11" i="6"/>
  <c r="AK11" i="6"/>
  <c r="AP11" i="6"/>
  <c r="AQ11" i="6"/>
  <c r="AR11" i="6"/>
  <c r="O12" i="7"/>
  <c r="P12" i="7"/>
  <c r="O13" i="7"/>
  <c r="P13" i="7"/>
  <c r="O14" i="7"/>
  <c r="P14" i="7"/>
  <c r="Q12" i="7"/>
  <c r="R12" i="7"/>
  <c r="G30" i="7"/>
  <c r="O10" i="7"/>
  <c r="P10" i="7"/>
  <c r="O11" i="7"/>
  <c r="P11" i="7"/>
  <c r="Q10" i="7"/>
  <c r="R10" i="7"/>
  <c r="S10" i="7"/>
  <c r="Q11" i="7"/>
  <c r="R11" i="7"/>
  <c r="S11" i="7"/>
  <c r="X10" i="7"/>
  <c r="Y10" i="7"/>
  <c r="Z10" i="7"/>
  <c r="H29" i="7"/>
  <c r="J31" i="7"/>
  <c r="N43" i="7"/>
  <c r="AA10" i="7"/>
  <c r="K29" i="7"/>
  <c r="N45" i="7"/>
  <c r="O46" i="7"/>
  <c r="O48" i="7"/>
  <c r="O50" i="7"/>
  <c r="O51" i="7"/>
  <c r="AB10" i="7"/>
  <c r="G54" i="7"/>
  <c r="G55" i="7"/>
  <c r="BA13" i="7"/>
  <c r="BA11" i="7"/>
  <c r="BB21" i="7"/>
  <c r="BB22" i="7"/>
  <c r="BB23" i="7"/>
  <c r="BA23" i="7"/>
  <c r="J13" i="6"/>
  <c r="AA58" i="13"/>
  <c r="K7" i="6"/>
  <c r="K14" i="6"/>
  <c r="AB59" i="13"/>
  <c r="C10" i="6"/>
  <c r="G10" i="6"/>
  <c r="X55" i="13"/>
  <c r="I12" i="6"/>
  <c r="Z57" i="13"/>
  <c r="AD11" i="6"/>
  <c r="BA9" i="7"/>
  <c r="BB25" i="7"/>
  <c r="BA25" i="7"/>
  <c r="BA22" i="7"/>
  <c r="BB26" i="7"/>
  <c r="BA26" i="7"/>
  <c r="AB52" i="13"/>
  <c r="AA52" i="13"/>
  <c r="Z52" i="13"/>
  <c r="Y52" i="13"/>
  <c r="X52" i="13"/>
  <c r="M59" i="7"/>
  <c r="AN9" i="7"/>
  <c r="AN16" i="7"/>
  <c r="AP16" i="7"/>
  <c r="AN17" i="7"/>
  <c r="AP17" i="7"/>
  <c r="AN15" i="7"/>
  <c r="AP15" i="7"/>
  <c r="BA14" i="7"/>
  <c r="AY14" i="7"/>
  <c r="BA21" i="7"/>
  <c r="BL29" i="4"/>
  <c r="K59" i="7"/>
  <c r="M55" i="7"/>
  <c r="E55" i="7"/>
  <c r="AY13" i="7"/>
  <c r="K55" i="7"/>
  <c r="H51" i="7"/>
  <c r="H48" i="7"/>
  <c r="H43" i="7"/>
  <c r="H46" i="7"/>
  <c r="W7" i="8"/>
  <c r="Y7" i="8"/>
  <c r="W8" i="8"/>
  <c r="Y8" i="8"/>
  <c r="W9" i="8"/>
  <c r="Y9" i="8"/>
  <c r="W10" i="8"/>
  <c r="Y10" i="8"/>
  <c r="W11" i="8"/>
  <c r="Y11" i="8"/>
  <c r="Z7" i="8"/>
  <c r="AA7" i="8"/>
  <c r="W17" i="8"/>
  <c r="Y17" i="8"/>
  <c r="W18" i="8"/>
  <c r="Y18" i="8"/>
  <c r="W19" i="8"/>
  <c r="Y19" i="8"/>
  <c r="W20" i="8"/>
  <c r="Y20" i="8"/>
  <c r="W21" i="8"/>
  <c r="Y21" i="8"/>
  <c r="Z17" i="8"/>
  <c r="AA17" i="8"/>
  <c r="AC17" i="8"/>
  <c r="Z8" i="8"/>
  <c r="AA8" i="8"/>
  <c r="Z18" i="8"/>
  <c r="AA18" i="8"/>
  <c r="AC18" i="8"/>
  <c r="AD18" i="8"/>
  <c r="Z9" i="8"/>
  <c r="AA9" i="8"/>
  <c r="Z19" i="8"/>
  <c r="AA19" i="8"/>
  <c r="AC19" i="8"/>
  <c r="Z10" i="8"/>
  <c r="AA10" i="8"/>
  <c r="Z20" i="8"/>
  <c r="AA20" i="8"/>
  <c r="AC20" i="8"/>
  <c r="AD20" i="8"/>
  <c r="AD24" i="8"/>
  <c r="AD26" i="8"/>
  <c r="H45" i="7"/>
  <c r="Q13" i="7"/>
  <c r="R13" i="7"/>
  <c r="S13" i="7"/>
  <c r="X13" i="7"/>
  <c r="Y13" i="7"/>
  <c r="Z13" i="7"/>
  <c r="AA13" i="7"/>
  <c r="AB13" i="7"/>
  <c r="S12" i="7"/>
  <c r="X12" i="7"/>
  <c r="Y12" i="7"/>
  <c r="Z12" i="7"/>
  <c r="AA12" i="7"/>
  <c r="AB12" i="7"/>
  <c r="X11" i="7"/>
  <c r="Y11" i="7"/>
  <c r="Z11" i="7"/>
  <c r="AA11" i="7"/>
  <c r="AB11" i="7"/>
  <c r="Q14" i="7"/>
  <c r="R14" i="7"/>
  <c r="S14" i="7"/>
  <c r="X14" i="7"/>
  <c r="Y14" i="7"/>
  <c r="Z14" i="7"/>
  <c r="AA14" i="7"/>
  <c r="AB14" i="7"/>
  <c r="P10" i="9"/>
  <c r="O10" i="9"/>
  <c r="N10" i="9"/>
  <c r="Z11" i="8"/>
  <c r="AA11" i="8"/>
  <c r="BB16" i="11"/>
  <c r="BB11" i="11"/>
  <c r="BK15" i="11"/>
  <c r="BL15" i="11"/>
  <c r="BB13" i="11"/>
  <c r="BK13" i="11"/>
  <c r="BL13" i="11"/>
  <c r="BK11" i="11"/>
  <c r="BL11" i="11"/>
  <c r="BB10" i="11"/>
  <c r="BK10" i="11"/>
  <c r="BL10" i="11"/>
  <c r="BB14" i="11"/>
  <c r="BK14" i="11"/>
  <c r="BL14" i="11"/>
  <c r="K13" i="4"/>
  <c r="K11" i="4"/>
  <c r="K12" i="4"/>
  <c r="K10" i="4"/>
  <c r="AH14" i="6"/>
  <c r="U14" i="6"/>
  <c r="Z21" i="8"/>
  <c r="AA21" i="8"/>
  <c r="K14" i="4"/>
  <c r="BM15" i="11"/>
  <c r="BN15" i="11"/>
  <c r="BN12" i="11"/>
  <c r="BN14" i="11"/>
  <c r="BN10" i="11"/>
  <c r="BN11" i="11"/>
  <c r="BN13" i="11"/>
  <c r="BB12" i="11"/>
  <c r="BK12" i="11"/>
  <c r="BL12" i="11"/>
  <c r="AI67" i="11"/>
  <c r="AJ67" i="11"/>
  <c r="AI68" i="11"/>
  <c r="AJ68" i="11"/>
  <c r="AI69" i="11"/>
  <c r="AJ69" i="11"/>
  <c r="AI70" i="11"/>
  <c r="AJ70" i="11"/>
  <c r="AI71" i="11"/>
  <c r="AJ71" i="11"/>
  <c r="AJ73" i="11"/>
  <c r="AO25" i="11"/>
  <c r="AP25" i="11"/>
  <c r="AQ24" i="11"/>
  <c r="AI75" i="11"/>
  <c r="AG18" i="11"/>
  <c r="AH75" i="11"/>
  <c r="AH74" i="11"/>
  <c r="BN16" i="11"/>
  <c r="BL16" i="11"/>
  <c r="G19" i="6" a="1"/>
  <c r="I19" i="6"/>
  <c r="AM52" i="13"/>
  <c r="J19" i="6"/>
  <c r="AN52" i="13"/>
  <c r="G19" i="6"/>
  <c r="AK52" i="13"/>
  <c r="K19" i="6"/>
  <c r="AO52" i="13"/>
  <c r="H19" i="6"/>
  <c r="AL52" i="13"/>
  <c r="K26" i="6"/>
  <c r="AO59" i="13"/>
  <c r="I24" i="6"/>
  <c r="AM57" i="13"/>
  <c r="J25" i="6"/>
  <c r="AN58" i="13"/>
  <c r="H24" i="6"/>
  <c r="AL57" i="13"/>
  <c r="AL20" i="13"/>
  <c r="J26" i="6"/>
  <c r="AN59" i="13"/>
  <c r="AN22" i="13"/>
  <c r="G22" i="6"/>
  <c r="AK55" i="13"/>
  <c r="H23" i="6"/>
  <c r="AL56" i="13"/>
  <c r="AN15" i="13"/>
  <c r="AN29" i="13"/>
  <c r="H26" i="6"/>
  <c r="AL59" i="13"/>
  <c r="AL22" i="13"/>
  <c r="AL13" i="13"/>
  <c r="AL27" i="13"/>
  <c r="H25" i="6"/>
  <c r="AL58" i="13"/>
  <c r="AL21" i="13"/>
  <c r="AL14" i="13"/>
  <c r="AL28" i="13"/>
  <c r="I26" i="6"/>
  <c r="AM59" i="13"/>
  <c r="AM22" i="13"/>
  <c r="I25" i="6"/>
  <c r="AM58" i="13"/>
  <c r="AM21" i="13"/>
  <c r="G25" i="6"/>
  <c r="AK58" i="13"/>
  <c r="AK14" i="13"/>
  <c r="AK21" i="13"/>
  <c r="AK28" i="13"/>
  <c r="AL15" i="13"/>
  <c r="AL29" i="13"/>
  <c r="AM14" i="13"/>
  <c r="AM28" i="13"/>
  <c r="AM15" i="13"/>
  <c r="AM29" i="13"/>
  <c r="G23" i="6"/>
  <c r="AK56" i="13"/>
  <c r="AK12" i="13"/>
  <c r="AK19" i="13"/>
  <c r="AK26" i="13"/>
  <c r="G24" i="6"/>
  <c r="AK57" i="13"/>
  <c r="AK13" i="13"/>
  <c r="AK20" i="13"/>
  <c r="AK27" i="13"/>
  <c r="G26" i="6"/>
  <c r="AK59" i="13"/>
  <c r="AK15" i="13"/>
  <c r="AK22" i="13"/>
  <c r="AK29" i="13"/>
  <c r="AP12" i="13"/>
  <c r="AP19" i="13"/>
  <c r="AP26" i="13"/>
  <c r="AQ35" i="13"/>
  <c r="AP13" i="13"/>
  <c r="AP20" i="13"/>
  <c r="AP27" i="13"/>
  <c r="AQ36" i="13"/>
  <c r="AP14" i="13"/>
  <c r="AP21" i="13"/>
  <c r="AP28" i="13"/>
  <c r="AQ37" i="13"/>
  <c r="AP15" i="13"/>
  <c r="AW15" i="13"/>
  <c r="AY15" i="13"/>
  <c r="AP22" i="13"/>
  <c r="AP29" i="13"/>
  <c r="AQ38" i="13"/>
  <c r="AW13" i="13"/>
  <c r="BG13" i="13"/>
  <c r="AW14" i="13"/>
  <c r="AY14" i="13"/>
  <c r="AV14" i="13"/>
  <c r="AZ14" i="13"/>
  <c r="BA14" i="13"/>
  <c r="AY13" i="13"/>
  <c r="AV13" i="13"/>
  <c r="AZ13" i="13"/>
  <c r="BA13" i="13"/>
  <c r="BC13" i="13"/>
  <c r="BD13" i="13"/>
  <c r="BE13" i="13"/>
  <c r="AV12" i="13"/>
  <c r="AV15" i="13"/>
  <c r="AV18" i="13"/>
  <c r="BH13" i="13"/>
  <c r="BI13" i="13"/>
  <c r="AZ15" i="13"/>
  <c r="BA15" i="13"/>
  <c r="BC14" i="13"/>
  <c r="BD14" i="13"/>
  <c r="BE14" i="13"/>
  <c r="BC15" i="13"/>
  <c r="BD15" i="13"/>
  <c r="BE15" i="13"/>
  <c r="BG14" i="13"/>
  <c r="BH14" i="13"/>
  <c r="BI14" i="13"/>
  <c r="BG15" i="13"/>
  <c r="BH15" i="13"/>
  <c r="BI15" i="13"/>
  <c r="AW12" i="13"/>
  <c r="AW18" i="13"/>
  <c r="BC12" i="13"/>
  <c r="BC18" i="13"/>
  <c r="BG12" i="13"/>
  <c r="BG18" i="13"/>
  <c r="AY12" i="13"/>
  <c r="AY18" i="13"/>
  <c r="BH12" i="13"/>
  <c r="BI12" i="13"/>
  <c r="BD12" i="13"/>
  <c r="BE12" i="13"/>
  <c r="AZ12" i="13"/>
  <c r="BA12" i="13"/>
  <c r="BD18" i="13"/>
  <c r="BE18" i="13"/>
  <c r="BD19" i="13"/>
  <c r="BE19" i="13"/>
  <c r="BH18" i="13"/>
  <c r="BH19" i="13"/>
  <c r="BI19" i="13"/>
  <c r="BI18" i="13"/>
  <c r="AZ18" i="13"/>
  <c r="BA18" i="13"/>
  <c r="AZ19" i="13"/>
  <c r="BA19" i="13"/>
</calcChain>
</file>

<file path=xl/sharedStrings.xml><?xml version="1.0" encoding="utf-8"?>
<sst xmlns="http://schemas.openxmlformats.org/spreadsheetml/2006/main" count="381" uniqueCount="306">
  <si>
    <t>q_x</t>
  </si>
  <si>
    <t>w_x</t>
  </si>
  <si>
    <t>s_x</t>
  </si>
  <si>
    <t>e_x</t>
  </si>
  <si>
    <t>k_x</t>
  </si>
  <si>
    <t>K_x</t>
  </si>
  <si>
    <t>l_x</t>
  </si>
  <si>
    <t>Summe</t>
  </si>
  <si>
    <t>t_4</t>
  </si>
  <si>
    <t>t_3</t>
  </si>
  <si>
    <t>t_2</t>
  </si>
  <si>
    <t>t_1</t>
  </si>
  <si>
    <t>N_x</t>
  </si>
  <si>
    <t>D_x</t>
  </si>
  <si>
    <t>a_x</t>
  </si>
  <si>
    <t>P_x</t>
  </si>
  <si>
    <t>j</t>
  </si>
  <si>
    <t>s</t>
  </si>
  <si>
    <t>x</t>
  </si>
  <si>
    <t>x+m</t>
  </si>
  <si>
    <t>z_x</t>
  </si>
  <si>
    <t>GO_x</t>
  </si>
  <si>
    <t>GU_x</t>
  </si>
  <si>
    <t>GA_x</t>
  </si>
  <si>
    <t>j/s</t>
  </si>
  <si>
    <t>B^Z ^r _j/s</t>
  </si>
  <si>
    <t>B^Z _x</t>
  </si>
  <si>
    <t>x_spez.</t>
  </si>
  <si>
    <t>P^Z_x</t>
  </si>
  <si>
    <t>v^x</t>
  </si>
  <si>
    <t>Rundungsstellen</t>
  </si>
  <si>
    <t>j+s</t>
  </si>
  <si>
    <t>α^u</t>
  </si>
  <si>
    <t>.</t>
  </si>
  <si>
    <t>rotfarbene Werte sind beobachtete oder gesetzte</t>
  </si>
  <si>
    <t>r:</t>
  </si>
  <si>
    <t>v:</t>
  </si>
  <si>
    <t>i.O.</t>
  </si>
  <si>
    <t>einschließlich aller unmittelbaren Abschlusskosten, da ohne Zillmerung</t>
  </si>
  <si>
    <t>Gamma</t>
  </si>
  <si>
    <t>K</t>
  </si>
  <si>
    <t>J</t>
  </si>
  <si>
    <t>B^R _x</t>
  </si>
  <si>
    <t>P_x_r</t>
  </si>
  <si>
    <t>a_x_r</t>
  </si>
  <si>
    <t>Kostenart</t>
  </si>
  <si>
    <t>Kosten- ein -nahmen</t>
  </si>
  <si>
    <t>ZB_x</t>
  </si>
  <si>
    <t>ZP_x</t>
  </si>
  <si>
    <t>Abweichungen auf Grund von Rundungen (algebraische Gleichheit)</t>
  </si>
  <si>
    <t>V_x;x+m</t>
  </si>
  <si>
    <t>alpha^Z (i;j)</t>
  </si>
  <si>
    <t>1. Faktor</t>
  </si>
  <si>
    <t>2. Faktor</t>
  </si>
  <si>
    <t>- 2. Summand</t>
  </si>
  <si>
    <t>+ 3. Summand</t>
  </si>
  <si>
    <t>- 4. Summand</t>
  </si>
  <si>
    <t>j = i</t>
  </si>
  <si>
    <t>Limitierung</t>
  </si>
  <si>
    <t>neuer Beitrag</t>
  </si>
  <si>
    <t>alter Tarifstand</t>
  </si>
  <si>
    <t>neuer Tarifstand</t>
  </si>
  <si>
    <t>vor Limitierung</t>
  </si>
  <si>
    <t>Fehler</t>
  </si>
  <si>
    <t>Tarif j (i^neu)</t>
  </si>
  <si>
    <t>Tarif i (i^alt)</t>
  </si>
  <si>
    <t>a</t>
  </si>
  <si>
    <t>b</t>
  </si>
  <si>
    <t>Trend</t>
  </si>
  <si>
    <t>AF^S</t>
  </si>
  <si>
    <t>-</t>
  </si>
  <si>
    <t>+</t>
  </si>
  <si>
    <t>=&gt;</t>
  </si>
  <si>
    <t>Grenzwert für Anpassung</t>
  </si>
  <si>
    <t>Q^tau</t>
  </si>
  <si>
    <t>G'^tau</t>
  </si>
  <si>
    <t>Jahresrelation</t>
  </si>
  <si>
    <t>Berechnung des Auslösenden Faktors gemäß § 14 Abs. 2, 3 KalV</t>
  </si>
  <si>
    <t>Berechnung des Auslösenden Faktors gemäß alternativem Verfahren</t>
  </si>
  <si>
    <t>Anp.</t>
  </si>
  <si>
    <t>Q^qA_x</t>
  </si>
  <si>
    <t>AF^q</t>
  </si>
  <si>
    <t>Anpassung</t>
  </si>
  <si>
    <t>Zielwert *)</t>
  </si>
  <si>
    <t>α^m</t>
  </si>
  <si>
    <t>β</t>
  </si>
  <si>
    <t>Kostenaufteilung aus Gewinnzerlegung</t>
  </si>
  <si>
    <t xml:space="preserve">Stückkosten </t>
  </si>
  <si>
    <t xml:space="preserve">Bruttoprämie </t>
  </si>
  <si>
    <t xml:space="preserve">tariflicher Beitrag </t>
  </si>
  <si>
    <t xml:space="preserve">VP-individueller Zahlbeitrag </t>
  </si>
  <si>
    <t>Zuschlag für die Optionsausübung</t>
  </si>
  <si>
    <t>Rabatt für Leistungseinschränkungen</t>
  </si>
  <si>
    <t>m</t>
  </si>
  <si>
    <t>unmittelbare Abschlusskosten</t>
  </si>
  <si>
    <t>mittelbare Abschlusskosten</t>
  </si>
  <si>
    <t>Schadenregulierungskosten</t>
  </si>
  <si>
    <t>sonstige Verwaltungskosten</t>
  </si>
  <si>
    <t>VJ: Versicherungsjahr</t>
  </si>
  <si>
    <t>MB: Monatsbeitrag</t>
  </si>
  <si>
    <t>Sparanteil</t>
  </si>
  <si>
    <t>(unmittelbare Abschlusskosten gesamt)</t>
  </si>
  <si>
    <t>Gruppenversicherungsrabatt</t>
  </si>
  <si>
    <t>1+r</t>
  </si>
  <si>
    <t>P_x - K_x+m</t>
  </si>
  <si>
    <t>V_ x;x+m</t>
  </si>
  <si>
    <t>V_ x;x+m+1</t>
  </si>
  <si>
    <t>x+m+1</t>
  </si>
  <si>
    <t>r</t>
  </si>
  <si>
    <t>x = 1</t>
  </si>
  <si>
    <t>AR-Fortschreibung</t>
  </si>
  <si>
    <t>AR-Zuführung</t>
  </si>
  <si>
    <t>K_ x+m</t>
  </si>
  <si>
    <t>v</t>
  </si>
  <si>
    <t>s_ x+m+1</t>
  </si>
  <si>
    <t>s_x+m</t>
  </si>
  <si>
    <t>P_1</t>
  </si>
  <si>
    <t>Δ~^</t>
  </si>
  <si>
    <t>Γ^</t>
  </si>
  <si>
    <t>∑B^</t>
  </si>
  <si>
    <t>∑L^</t>
  </si>
  <si>
    <t>Δ_j/s</t>
  </si>
  <si>
    <t>Δ~ ^r _j/s</t>
  </si>
  <si>
    <t>α^Z _x_r</t>
  </si>
  <si>
    <t>Γ _j/s</t>
  </si>
  <si>
    <t>L^_x</t>
  </si>
  <si>
    <t>Q^_x</t>
  </si>
  <si>
    <t>W^_x</t>
  </si>
  <si>
    <t>q^_x</t>
  </si>
  <si>
    <t>w^_x</t>
  </si>
  <si>
    <t>λ</t>
  </si>
  <si>
    <t>∑Γ^</t>
  </si>
  <si>
    <t>μ</t>
  </si>
  <si>
    <t>Nummer VP</t>
  </si>
  <si>
    <t>Gesamtschadenhöhe</t>
  </si>
  <si>
    <t>Kopfschaden K</t>
  </si>
  <si>
    <t>S^ ^τ ^(τ+1,m) _x</t>
  </si>
  <si>
    <t>AS^ ^τ ^(τ+1,m) _x</t>
  </si>
  <si>
    <t>AS^ ^t_1 ^(t_0,m) _x</t>
  </si>
  <si>
    <t>S^ ^τ
_x</t>
  </si>
  <si>
    <t>K^_x</t>
  </si>
  <si>
    <t>enthaltene WSE, 1. VJ: 2 MB, 2. VJ: 1 MB</t>
  </si>
  <si>
    <t>Jahreswerte</t>
  </si>
  <si>
    <t>Nettoanteil (ohne Zillmerung)</t>
  </si>
  <si>
    <t>Beitragsverwendung</t>
  </si>
  <si>
    <t>K'_x</t>
  </si>
  <si>
    <t>S^_x</t>
  </si>
  <si>
    <t>S'^τ</t>
  </si>
  <si>
    <t>RZ^τ</t>
  </si>
  <si>
    <t>WSE^τ</t>
  </si>
  <si>
    <t>Jahr τ</t>
  </si>
  <si>
    <t xml:space="preserve">Extrapolation zu </t>
  </si>
  <si>
    <t>Ausgangsdaten</t>
  </si>
  <si>
    <t>Minimierung mit</t>
  </si>
  <si>
    <t>l^erf_x</t>
  </si>
  <si>
    <t>D^erf_x</t>
  </si>
  <si>
    <t>O^erf_x</t>
  </si>
  <si>
    <t>U^erf_x</t>
  </si>
  <si>
    <t>A^erf_x</t>
  </si>
  <si>
    <t>q^erf_x</t>
  </si>
  <si>
    <t>Beispiel mit zwei Altersbereichen: 1 und 2 sowie 3 und 4</t>
  </si>
  <si>
    <t>Prämienanpassung</t>
  </si>
  <si>
    <t>∑ L^τ_x · k^t0_x</t>
  </si>
  <si>
    <t>Mittelwerte</t>
  </si>
  <si>
    <t>Maximum</t>
  </si>
  <si>
    <t>Bruch</t>
  </si>
  <si>
    <t>Jahresbeitrag</t>
  </si>
  <si>
    <t>Monatsbeitrag</t>
  </si>
  <si>
    <t xml:space="preserve"> 1. Summand</t>
  </si>
  <si>
    <t>neue Sterbewahrscheinlichkeiten</t>
  </si>
  <si>
    <t>einkalkulierte Sterbewahrscheinlichkeiten</t>
  </si>
  <si>
    <t>x+m+k</t>
  </si>
  <si>
    <t>V^Z_x;x+m</t>
  </si>
  <si>
    <t>monatlicher Abschlag</t>
  </si>
  <si>
    <t>P^Z_3</t>
  </si>
  <si>
    <t>x+m=3</t>
  </si>
  <si>
    <t>Rabatt-rück-stellung</t>
  </si>
  <si>
    <t>Gersamt-
rück-
stellung</t>
  </si>
  <si>
    <t>G^ ^t3</t>
  </si>
  <si>
    <t>G^ ^t2</t>
  </si>
  <si>
    <t>G^ ^t1</t>
  </si>
  <si>
    <t>G^t0+2</t>
  </si>
  <si>
    <t>x_s</t>
  </si>
  <si>
    <t>beobachtete Werte</t>
  </si>
  <si>
    <t>effektive Werte</t>
  </si>
  <si>
    <t>q'_x</t>
  </si>
  <si>
    <t>w'_x</t>
  </si>
  <si>
    <t>Endwert</t>
  </si>
  <si>
    <t>Alter</t>
  </si>
  <si>
    <t>x_α</t>
  </si>
  <si>
    <t>x_ω</t>
  </si>
  <si>
    <t>rechnungsmäßige Werte</t>
  </si>
  <si>
    <t>Beispielsfestlegung, q_x steigend resp. w_x fallend angenommen, Sicherheit duch niedrigere Werte:</t>
  </si>
  <si>
    <t>G'</t>
  </si>
  <si>
    <t>beob. W</t>
  </si>
  <si>
    <t>eff. W.</t>
  </si>
  <si>
    <t>rm. W.</t>
  </si>
  <si>
    <t>Endwerte q/w_(x_ω)</t>
  </si>
  <si>
    <t>Faktor f^qx/wx</t>
  </si>
  <si>
    <t>Startwert</t>
  </si>
  <si>
    <t>= 0, 1 , …, m^_λ</t>
  </si>
  <si>
    <t>L^StTag^_x</t>
  </si>
  <si>
    <t>t2</t>
  </si>
  <si>
    <t>t3</t>
  </si>
  <si>
    <t>t4</t>
  </si>
  <si>
    <t>∑ L^_x * k_x</t>
  </si>
  <si>
    <t>G^ ^t4</t>
  </si>
  <si>
    <t>bei Ausgleich über vier Jahre</t>
  </si>
  <si>
    <t>AS^ ^t1</t>
  </si>
  <si>
    <t>x_N</t>
  </si>
  <si>
    <t>Schadenhöhe je VP</t>
  </si>
  <si>
    <t>Schadenanzahl je VP</t>
  </si>
  <si>
    <t>Bestandszugehörigkeit</t>
  </si>
  <si>
    <t>Einzelschäden</t>
  </si>
  <si>
    <t xml:space="preserve">mittlerer Bestand </t>
  </si>
  <si>
    <t>Aus Gründen der Übersichtlichkeit kein Altersindex</t>
  </si>
  <si>
    <t>k'_x</t>
  </si>
  <si>
    <t>k^_x</t>
  </si>
  <si>
    <t>für Skript</t>
  </si>
  <si>
    <t>G^ / G' / G</t>
  </si>
  <si>
    <t>w'_x  =  MIN[  w_(x-1)  ;  MAX( 0 ; w^_x - 0,01 )  ],  w^_x  =  f^wx · w'_x</t>
  </si>
  <si>
    <t>q'_x  =  MAX[  q'_(x-1)  ;  MAX( 0 ;  q^_x - 0,01 )  ],  q^_x  =  f^qx · q'_x</t>
  </si>
  <si>
    <t>m_λ</t>
  </si>
  <si>
    <t>= 1, …, L^StTag</t>
  </si>
  <si>
    <t>s_λ,μ</t>
  </si>
  <si>
    <t>s_λ</t>
  </si>
  <si>
    <t>S</t>
  </si>
  <si>
    <t>L</t>
  </si>
  <si>
    <t>S / L</t>
  </si>
  <si>
    <t>Σ_μ s_λ,μ</t>
  </si>
  <si>
    <t>Σ_λ s_λ</t>
  </si>
  <si>
    <t>S'_x</t>
  </si>
  <si>
    <t>S^ / S' / S</t>
  </si>
  <si>
    <t>B~^Z _x</t>
  </si>
  <si>
    <r>
      <rPr>
        <sz val="10"/>
        <rFont val="Calibri"/>
        <family val="2"/>
      </rPr>
      <t>α</t>
    </r>
    <r>
      <rPr>
        <sz val="10"/>
        <rFont val="Verdana"/>
        <family val="2"/>
      </rPr>
      <t>^Z_x</t>
    </r>
  </si>
  <si>
    <t>Meldung</t>
  </si>
  <si>
    <t>B^Z^r _j/s</t>
  </si>
  <si>
    <t>Δ~^r _j/s °)</t>
  </si>
  <si>
    <t>Kostendeckung</t>
  </si>
  <si>
    <t>Δ~^r ^quer</t>
  </si>
  <si>
    <t>Alt'bereich</t>
  </si>
  <si>
    <t>Δ</t>
  </si>
  <si>
    <t>Γ</t>
  </si>
  <si>
    <t>B~^R _x</t>
  </si>
  <si>
    <t>Δ~</t>
  </si>
  <si>
    <t>Beitragsaufteilung</t>
  </si>
  <si>
    <t>Risiko</t>
  </si>
  <si>
    <t>WSE</t>
  </si>
  <si>
    <t>ρ</t>
  </si>
  <si>
    <t>Ω^ST</t>
  </si>
  <si>
    <t>Ω^BT</t>
  </si>
  <si>
    <t>α^σ</t>
  </si>
  <si>
    <t>σ^α/ σ</t>
  </si>
  <si>
    <t>GV</t>
  </si>
  <si>
    <t>LE</t>
  </si>
  <si>
    <t>GZ</t>
  </si>
  <si>
    <t>RZ</t>
  </si>
  <si>
    <t>Β</t>
  </si>
  <si>
    <t>Ο</t>
  </si>
  <si>
    <t>(uAK)</t>
  </si>
  <si>
    <t>B^Z</t>
  </si>
  <si>
    <t>B^t</t>
  </si>
  <si>
    <t>B^pt</t>
  </si>
  <si>
    <t>B^ind</t>
  </si>
  <si>
    <t>B^gpt</t>
  </si>
  <si>
    <t>Zuschlag für erfolgsunabh. Beitragsrückerstatt.</t>
  </si>
  <si>
    <t xml:space="preserve">personengruppenbezogener tariflicher Btrg </t>
  </si>
  <si>
    <t>gesetzlicher Zuschlag i.H.v. zehn Prozent</t>
  </si>
  <si>
    <t>pers'grp'bez. tarifl. Btrg einschl. g.Zuschl.</t>
  </si>
  <si>
    <t>K_x+m+1</t>
  </si>
  <si>
    <t>l_x+m+1</t>
  </si>
  <si>
    <t>l_x+m /
l_x+m+1</t>
  </si>
  <si>
    <t>D_x+m+1</t>
  </si>
  <si>
    <t>D_x+m /
D_x+m+1</t>
  </si>
  <si>
    <t>Anmerkung: Wird z.B. K_5 zu 30,00 gesetzt, wird für x=5 die AR abgebaut.</t>
  </si>
  <si>
    <t>V_
x;x+m</t>
  </si>
  <si>
    <t>V_
x;x+m+1</t>
  </si>
  <si>
    <t>P_x-Zerlegung</t>
  </si>
  <si>
    <t>α^m, ρ, β</t>
  </si>
  <si>
    <t>E</t>
  </si>
  <si>
    <t>AR</t>
  </si>
  <si>
    <t>w^VP/alleVJ</t>
  </si>
  <si>
    <t>w^VP/ab1VJ</t>
  </si>
  <si>
    <t>davon Abgänge auf Grund Storno L^w_x,τ</t>
  </si>
  <si>
    <t>Stichtags-Bestand L^StTag_x,τ</t>
  </si>
  <si>
    <t>Verb'Erg.</t>
  </si>
  <si>
    <t>Wirt.</t>
  </si>
  <si>
    <t>rm.Vererb.</t>
  </si>
  <si>
    <t>tats.Vererb.</t>
  </si>
  <si>
    <t>L^StTag_x,τ</t>
  </si>
  <si>
    <t>techn. AR-Modifikation</t>
  </si>
  <si>
    <t>oVJ</t>
  </si>
  <si>
    <t>beob. Storno in Abhängigkeit von Vorversicherungszeit</t>
  </si>
  <si>
    <t>jeweils ohne Ansatz von Storno-
wahrscheinlich-
keiten</t>
  </si>
  <si>
    <t>err. Alter</t>
  </si>
  <si>
    <t>beobachtete Stornowahrscheinlichkeiten</t>
  </si>
  <si>
    <t>w^posAR</t>
  </si>
  <si>
    <t>w^gesAR</t>
  </si>
  <si>
    <t>Stichtags-Alterungsrückstellung posAR^StTag_x+1,τ</t>
  </si>
  <si>
    <t>davon Abgänge auf Grund Storno posAR^w_x,τ</t>
  </si>
  <si>
    <r>
      <t xml:space="preserve">alle Werte beziehen sich auf den Tarif  </t>
    </r>
    <r>
      <rPr>
        <i/>
        <sz val="10"/>
        <rFont val="Verdana"/>
        <family val="2"/>
      </rPr>
      <t xml:space="preserve">j </t>
    </r>
    <r>
      <rPr>
        <sz val="10"/>
        <rFont val="Verdana"/>
        <family val="2"/>
      </rPr>
      <t>(</t>
    </r>
    <r>
      <rPr>
        <i/>
        <sz val="10"/>
        <rFont val="Verdana"/>
        <family val="2"/>
      </rPr>
      <t>i</t>
    </r>
    <r>
      <rPr>
        <sz val="10"/>
        <rFont val="Verdana"/>
        <family val="2"/>
      </rPr>
      <t>^</t>
    </r>
    <r>
      <rPr>
        <i/>
        <sz val="10"/>
        <rFont val="Verdana"/>
        <family val="2"/>
      </rPr>
      <t>neu</t>
    </r>
    <r>
      <rPr>
        <sz val="10"/>
        <rFont val="Verdana"/>
        <family val="2"/>
      </rPr>
      <t>)</t>
    </r>
  </si>
  <si>
    <t>SR^τ (rm.)</t>
  </si>
  <si>
    <t>ST^τ (tats.)</t>
  </si>
  <si>
    <t>G^quer (ausgegl., extrapol.)</t>
  </si>
  <si>
    <t>G^τ (tats.)</t>
  </si>
  <si>
    <t>G^^tau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</si>
</sst>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0.0"/>
    <numFmt numFmtId="165" formatCode="#,##0.0"/>
    <numFmt numFmtId="166" formatCode="0\ %\ "/>
    <numFmt numFmtId="167" formatCode="0.0%"/>
    <numFmt numFmtId="168" formatCode="#,##0.0000"/>
    <numFmt numFmtId="169" formatCode="#,##0.000"/>
    <numFmt numFmtId="170" formatCode="0.0000"/>
    <numFmt numFmtId="171" formatCode="0\ %"/>
    <numFmt numFmtId="172" formatCode="\+\ #,##0\ %;\-\ #,##0\ %;\+\ #,##0\ %\ "/>
    <numFmt numFmtId="173" formatCode="\+\ #,##0;\-\ #,##0;\+\ #,##0"/>
    <numFmt numFmtId="174" formatCode="\+\ #,##0\ %;\-\ #,##0\ %;\+\ #,##0\ %"/>
    <numFmt numFmtId="175" formatCode="0.000"/>
    <numFmt numFmtId="176" formatCode="0.0\ %"/>
  </numFmts>
  <fonts count="28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13"/>
      <name val="Verdana"/>
      <family val="2"/>
    </font>
    <font>
      <sz val="10"/>
      <color indexed="44"/>
      <name val="Verdana"/>
      <family val="2"/>
    </font>
    <font>
      <u/>
      <sz val="10"/>
      <name val="Verdana"/>
      <family val="2"/>
    </font>
    <font>
      <sz val="10"/>
      <name val="Arial"/>
      <family val="2"/>
    </font>
    <font>
      <sz val="10"/>
      <name val="Calibri"/>
      <family val="2"/>
    </font>
    <font>
      <i/>
      <sz val="10"/>
      <name val="Verdana"/>
      <family val="2"/>
    </font>
    <font>
      <sz val="10"/>
      <color indexed="40"/>
      <name val="Verdana"/>
      <family val="2"/>
    </font>
    <font>
      <sz val="9"/>
      <name val="Verdana"/>
      <family val="2"/>
    </font>
    <font>
      <sz val="10"/>
      <color indexed="54"/>
      <name val="Verdana"/>
      <family val="2"/>
    </font>
    <font>
      <b/>
      <sz val="10"/>
      <color indexed="44"/>
      <name val="Verdana"/>
      <family val="2"/>
    </font>
    <font>
      <u/>
      <sz val="10"/>
      <color indexed="54"/>
      <name val="Verdana"/>
      <family val="2"/>
    </font>
    <font>
      <b/>
      <sz val="10"/>
      <name val="Verdana"/>
      <family val="2"/>
    </font>
    <font>
      <sz val="10"/>
      <color rgb="FFFF0000"/>
      <name val="Verdana"/>
      <family val="2"/>
    </font>
    <font>
      <sz val="10"/>
      <color rgb="FFFF0000"/>
      <name val="Arial"/>
      <family val="2"/>
    </font>
    <font>
      <sz val="10"/>
      <color theme="1"/>
      <name val="Verdana"/>
      <family val="2"/>
    </font>
    <font>
      <sz val="10"/>
      <color theme="1" tint="0.499984740745262"/>
      <name val="Verdana"/>
      <family val="2"/>
    </font>
    <font>
      <sz val="10"/>
      <color theme="0"/>
      <name val="Verdana"/>
      <family val="2"/>
    </font>
    <font>
      <sz val="10"/>
      <color rgb="FF00B050"/>
      <name val="Verdana"/>
      <family val="2"/>
    </font>
    <font>
      <u/>
      <sz val="10"/>
      <color theme="1"/>
      <name val="Verdana"/>
      <family val="2"/>
    </font>
    <font>
      <sz val="10"/>
      <color theme="7" tint="-0.499984740745262"/>
      <name val="Verdana"/>
      <family val="2"/>
    </font>
    <font>
      <sz val="10"/>
      <color theme="4"/>
      <name val="Verdana"/>
      <family val="2"/>
    </font>
    <font>
      <sz val="10"/>
      <color theme="7"/>
      <name val="Verdana"/>
      <family val="2"/>
    </font>
    <font>
      <b/>
      <sz val="10"/>
      <color theme="0"/>
      <name val="Verdana"/>
      <family val="2"/>
    </font>
    <font>
      <sz val="10"/>
      <color theme="8"/>
      <name val="Verdana"/>
      <family val="2"/>
    </font>
  </fonts>
  <fills count="3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gray0625">
        <fgColor theme="1"/>
        <bgColor theme="0" tint="-4.9989318521683403E-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mediumGray">
        <fgColor indexed="60"/>
        <bgColor theme="8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7">
    <xf numFmtId="0" fontId="0" fillId="0" borderId="0" xfId="0"/>
    <xf numFmtId="0" fontId="3" fillId="0" borderId="0" xfId="0" applyFont="1" applyAlignment="1"/>
    <xf numFmtId="0" fontId="3" fillId="0" borderId="0" xfId="0" applyFont="1"/>
    <xf numFmtId="0" fontId="5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/>
    <xf numFmtId="0" fontId="3" fillId="0" borderId="1" xfId="0" applyFont="1" applyBorder="1"/>
    <xf numFmtId="0" fontId="3" fillId="0" borderId="2" xfId="0" applyFont="1" applyBorder="1" applyAlignment="1">
      <alignment horizontal="right"/>
    </xf>
    <xf numFmtId="167" fontId="4" fillId="0" borderId="2" xfId="1" applyNumberFormat="1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4" fillId="0" borderId="0" xfId="0" applyFont="1" applyBorder="1"/>
    <xf numFmtId="164" fontId="4" fillId="0" borderId="0" xfId="0" applyNumberFormat="1" applyFont="1" applyBorder="1"/>
    <xf numFmtId="4" fontId="3" fillId="0" borderId="0" xfId="0" applyNumberFormat="1" applyFont="1" applyBorder="1"/>
    <xf numFmtId="3" fontId="4" fillId="0" borderId="0" xfId="0" applyNumberFormat="1" applyFont="1" applyBorder="1"/>
    <xf numFmtId="167" fontId="3" fillId="0" borderId="0" xfId="1" applyNumberFormat="1" applyFont="1" applyBorder="1"/>
    <xf numFmtId="2" fontId="3" fillId="0" borderId="0" xfId="0" applyNumberFormat="1" applyFont="1" applyBorder="1"/>
    <xf numFmtId="0" fontId="3" fillId="3" borderId="5" xfId="0" applyFont="1" applyFill="1" applyBorder="1" applyAlignment="1">
      <alignment horizontal="right" shrinkToFit="1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0" xfId="0" applyFont="1" applyFill="1" applyBorder="1"/>
    <xf numFmtId="4" fontId="3" fillId="0" borderId="0" xfId="0" applyNumberFormat="1" applyFont="1" applyBorder="1" applyAlignment="1">
      <alignment shrinkToFit="1"/>
    </xf>
    <xf numFmtId="4" fontId="3" fillId="0" borderId="5" xfId="0" applyNumberFormat="1" applyFont="1" applyBorder="1" applyAlignment="1">
      <alignment shrinkToFit="1"/>
    </xf>
    <xf numFmtId="0" fontId="3" fillId="0" borderId="7" xfId="0" applyFont="1" applyBorder="1"/>
    <xf numFmtId="3" fontId="3" fillId="0" borderId="9" xfId="0" applyNumberFormat="1" applyFont="1" applyBorder="1"/>
    <xf numFmtId="167" fontId="3" fillId="0" borderId="9" xfId="1" applyNumberFormat="1" applyFont="1" applyBorder="1"/>
    <xf numFmtId="2" fontId="3" fillId="0" borderId="9" xfId="0" applyNumberFormat="1" applyFont="1" applyBorder="1"/>
    <xf numFmtId="0" fontId="3" fillId="0" borderId="9" xfId="0" applyFont="1" applyBorder="1"/>
    <xf numFmtId="3" fontId="3" fillId="3" borderId="8" xfId="0" applyNumberFormat="1" applyFont="1" applyFill="1" applyBorder="1" applyAlignment="1">
      <alignment horizontal="right" shrinkToFit="1"/>
    </xf>
    <xf numFmtId="0" fontId="3" fillId="0" borderId="0" xfId="0" applyFont="1" applyAlignment="1">
      <alignment horizontal="right"/>
    </xf>
    <xf numFmtId="0" fontId="3" fillId="4" borderId="4" xfId="0" applyFont="1" applyFill="1" applyBorder="1"/>
    <xf numFmtId="0" fontId="3" fillId="4" borderId="0" xfId="0" applyFont="1" applyFill="1" applyBorder="1"/>
    <xf numFmtId="0" fontId="3" fillId="4" borderId="5" xfId="0" applyFont="1" applyFill="1" applyBorder="1"/>
    <xf numFmtId="0" fontId="5" fillId="5" borderId="7" xfId="0" applyFont="1" applyFill="1" applyBorder="1"/>
    <xf numFmtId="0" fontId="5" fillId="5" borderId="9" xfId="0" applyFont="1" applyFill="1" applyBorder="1"/>
    <xf numFmtId="0" fontId="5" fillId="5" borderId="8" xfId="0" applyFont="1" applyFill="1" applyBorder="1"/>
    <xf numFmtId="4" fontId="3" fillId="0" borderId="9" xfId="0" applyNumberFormat="1" applyFont="1" applyBorder="1" applyAlignment="1">
      <alignment shrinkToFit="1"/>
    </xf>
    <xf numFmtId="4" fontId="3" fillId="0" borderId="8" xfId="0" applyNumberFormat="1" applyFont="1" applyBorder="1" applyAlignment="1">
      <alignment shrinkToFit="1"/>
    </xf>
    <xf numFmtId="167" fontId="4" fillId="0" borderId="9" xfId="1" applyNumberFormat="1" applyFont="1" applyBorder="1"/>
    <xf numFmtId="167" fontId="3" fillId="0" borderId="0" xfId="0" applyNumberFormat="1" applyFont="1" applyBorder="1"/>
    <xf numFmtId="167" fontId="4" fillId="0" borderId="0" xfId="1" applyNumberFormat="1" applyFont="1" applyBorder="1"/>
    <xf numFmtId="167" fontId="3" fillId="6" borderId="0" xfId="1" applyNumberFormat="1" applyFont="1" applyFill="1" applyBorder="1"/>
    <xf numFmtId="4" fontId="3" fillId="6" borderId="0" xfId="0" applyNumberFormat="1" applyFont="1" applyFill="1" applyBorder="1" applyAlignment="1">
      <alignment shrinkToFit="1"/>
    </xf>
    <xf numFmtId="4" fontId="3" fillId="6" borderId="0" xfId="0" applyNumberFormat="1" applyFont="1" applyFill="1" applyBorder="1" applyAlignment="1">
      <alignment horizontal="right" shrinkToFit="1"/>
    </xf>
    <xf numFmtId="3" fontId="3" fillId="0" borderId="5" xfId="0" applyNumberFormat="1" applyFont="1" applyBorder="1" applyAlignment="1">
      <alignment shrinkToFit="1"/>
    </xf>
    <xf numFmtId="0" fontId="3" fillId="0" borderId="0" xfId="0" applyFont="1" applyFill="1" applyAlignment="1">
      <alignment horizontal="left" shrinkToFit="1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/>
    </xf>
    <xf numFmtId="3" fontId="3" fillId="0" borderId="8" xfId="0" applyNumberFormat="1" applyFont="1" applyBorder="1" applyAlignment="1">
      <alignment shrinkToFit="1"/>
    </xf>
    <xf numFmtId="0" fontId="3" fillId="0" borderId="0" xfId="0" applyFont="1" applyFill="1" applyAlignment="1">
      <alignment horizontal="center"/>
    </xf>
    <xf numFmtId="4" fontId="3" fillId="0" borderId="0" xfId="0" applyNumberFormat="1" applyFont="1" applyAlignment="1">
      <alignment shrinkToFit="1"/>
    </xf>
    <xf numFmtId="2" fontId="3" fillId="0" borderId="0" xfId="0" applyNumberFormat="1" applyFont="1"/>
    <xf numFmtId="4" fontId="3" fillId="0" borderId="0" xfId="0" applyNumberFormat="1" applyFont="1"/>
    <xf numFmtId="3" fontId="3" fillId="0" borderId="0" xfId="0" applyNumberFormat="1" applyFont="1"/>
    <xf numFmtId="3" fontId="4" fillId="0" borderId="0" xfId="0" applyNumberFormat="1" applyFont="1"/>
    <xf numFmtId="0" fontId="5" fillId="11" borderId="0" xfId="0" applyFont="1" applyFill="1" applyAlignment="1">
      <alignment horizontal="center"/>
    </xf>
    <xf numFmtId="0" fontId="16" fillId="0" borderId="0" xfId="0" applyFont="1" applyBorder="1" applyAlignment="1">
      <alignment horizontal="right"/>
    </xf>
    <xf numFmtId="0" fontId="16" fillId="0" borderId="0" xfId="0" applyFont="1" applyBorder="1" applyAlignment="1"/>
    <xf numFmtId="0" fontId="7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17" fillId="12" borderId="0" xfId="0" applyFont="1" applyFill="1" applyBorder="1" applyAlignment="1"/>
    <xf numFmtId="0" fontId="17" fillId="13" borderId="0" xfId="0" applyFont="1" applyFill="1" applyBorder="1" applyAlignment="1"/>
    <xf numFmtId="0" fontId="17" fillId="14" borderId="0" xfId="0" applyFont="1" applyFill="1" applyBorder="1" applyAlignment="1"/>
    <xf numFmtId="0" fontId="3" fillId="0" borderId="0" xfId="0" applyFont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3" fillId="0" borderId="2" xfId="0" applyFont="1" applyBorder="1" applyAlignment="1">
      <alignment vertical="center" shrinkToFit="1"/>
    </xf>
    <xf numFmtId="0" fontId="3" fillId="15" borderId="2" xfId="0" applyFont="1" applyFill="1" applyBorder="1" applyAlignment="1">
      <alignment horizontal="right" vertical="center" shrinkToFit="1"/>
    </xf>
    <xf numFmtId="0" fontId="3" fillId="15" borderId="3" xfId="0" applyFont="1" applyFill="1" applyBorder="1" applyAlignment="1">
      <alignment horizontal="right" vertical="center" shrinkToFit="1"/>
    </xf>
    <xf numFmtId="0" fontId="3" fillId="0" borderId="4" xfId="0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2" fontId="16" fillId="15" borderId="0" xfId="0" applyNumberFormat="1" applyFont="1" applyFill="1" applyBorder="1" applyAlignment="1">
      <alignment vertical="center" shrinkToFit="1"/>
    </xf>
    <xf numFmtId="0" fontId="3" fillId="15" borderId="0" xfId="0" applyFont="1" applyFill="1" applyBorder="1" applyAlignment="1">
      <alignment horizontal="right" vertical="center" shrinkToFit="1"/>
    </xf>
    <xf numFmtId="0" fontId="3" fillId="15" borderId="5" xfId="0" applyFont="1" applyFill="1" applyBorder="1" applyAlignment="1">
      <alignment horizontal="right" vertical="center" shrinkToFit="1"/>
    </xf>
    <xf numFmtId="0" fontId="4" fillId="15" borderId="0" xfId="0" applyFont="1" applyFill="1" applyBorder="1" applyAlignment="1">
      <alignment vertical="center" shrinkToFit="1"/>
    </xf>
    <xf numFmtId="2" fontId="16" fillId="15" borderId="5" xfId="0" applyNumberFormat="1" applyFont="1" applyFill="1" applyBorder="1" applyAlignment="1">
      <alignment vertical="center" shrinkToFit="1"/>
    </xf>
    <xf numFmtId="0" fontId="3" fillId="13" borderId="10" xfId="0" applyFont="1" applyFill="1" applyBorder="1" applyAlignment="1">
      <alignment horizontal="center" vertical="center" shrinkToFit="1"/>
    </xf>
    <xf numFmtId="0" fontId="3" fillId="0" borderId="10" xfId="0" applyFont="1" applyBorder="1" applyAlignment="1">
      <alignment horizontal="right" vertical="center" shrinkToFit="1"/>
    </xf>
    <xf numFmtId="0" fontId="3" fillId="0" borderId="11" xfId="0" applyFont="1" applyBorder="1" applyAlignment="1">
      <alignment horizontal="right" vertical="center" shrinkToFit="1"/>
    </xf>
    <xf numFmtId="0" fontId="3" fillId="0" borderId="6" xfId="0" applyFont="1" applyBorder="1" applyAlignment="1">
      <alignment horizontal="right" vertical="center" shrinkToFit="1"/>
    </xf>
    <xf numFmtId="0" fontId="3" fillId="0" borderId="4" xfId="0" applyFont="1" applyBorder="1" applyAlignment="1">
      <alignment horizontal="right" vertical="center" shrinkToFit="1"/>
    </xf>
    <xf numFmtId="0" fontId="3" fillId="0" borderId="5" xfId="0" applyFont="1" applyBorder="1" applyAlignment="1">
      <alignment vertical="center" shrinkToFit="1"/>
    </xf>
    <xf numFmtId="0" fontId="4" fillId="0" borderId="0" xfId="0" applyFont="1" applyFill="1" applyBorder="1" applyAlignment="1">
      <alignment vertical="center" shrinkToFit="1"/>
    </xf>
    <xf numFmtId="170" fontId="3" fillId="0" borderId="0" xfId="0" applyNumberFormat="1" applyFont="1" applyFill="1" applyBorder="1" applyAlignment="1">
      <alignment vertical="center" shrinkToFit="1"/>
    </xf>
    <xf numFmtId="2" fontId="3" fillId="0" borderId="0" xfId="0" applyNumberFormat="1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170" fontId="3" fillId="0" borderId="5" xfId="0" applyNumberFormat="1" applyFont="1" applyFill="1" applyBorder="1" applyAlignment="1">
      <alignment vertical="center" shrinkToFit="1"/>
    </xf>
    <xf numFmtId="1" fontId="4" fillId="0" borderId="0" xfId="0" applyNumberFormat="1" applyFont="1" applyFill="1" applyBorder="1" applyAlignment="1">
      <alignment vertical="center" shrinkToFit="1"/>
    </xf>
    <xf numFmtId="170" fontId="3" fillId="0" borderId="0" xfId="0" applyNumberFormat="1" applyFont="1" applyBorder="1" applyAlignment="1">
      <alignment vertical="center" shrinkToFit="1"/>
    </xf>
    <xf numFmtId="2" fontId="3" fillId="0" borderId="0" xfId="0" applyNumberFormat="1" applyFont="1" applyBorder="1" applyAlignment="1">
      <alignment vertical="center" shrinkToFi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2" fontId="3" fillId="0" borderId="5" xfId="0" applyNumberFormat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164" fontId="3" fillId="0" borderId="9" xfId="0" applyNumberFormat="1" applyFont="1" applyBorder="1" applyAlignment="1">
      <alignment vertical="center"/>
    </xf>
    <xf numFmtId="2" fontId="3" fillId="0" borderId="9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164" fontId="3" fillId="0" borderId="5" xfId="0" applyNumberFormat="1" applyFont="1" applyBorder="1" applyAlignment="1">
      <alignment vertical="center"/>
    </xf>
    <xf numFmtId="0" fontId="3" fillId="0" borderId="4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3" fontId="18" fillId="0" borderId="0" xfId="0" applyNumberFormat="1" applyFont="1" applyBorder="1" applyAlignment="1">
      <alignment horizontal="right" vertical="center"/>
    </xf>
    <xf numFmtId="166" fontId="3" fillId="0" borderId="5" xfId="0" applyNumberFormat="1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3" fillId="0" borderId="0" xfId="0" quotePrefix="1" applyFont="1" applyBorder="1" applyAlignment="1">
      <alignment vertical="center"/>
    </xf>
    <xf numFmtId="0" fontId="3" fillId="0" borderId="1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18" fillId="0" borderId="9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right" vertical="center"/>
    </xf>
    <xf numFmtId="0" fontId="3" fillId="16" borderId="0" xfId="0" applyFont="1" applyFill="1" applyAlignment="1">
      <alignment vertical="center"/>
    </xf>
    <xf numFmtId="0" fontId="5" fillId="11" borderId="0" xfId="0" applyFont="1" applyFill="1" applyBorder="1" applyAlignment="1">
      <alignment horizontal="center" vertical="center"/>
    </xf>
    <xf numFmtId="0" fontId="3" fillId="17" borderId="0" xfId="0" applyFont="1" applyFill="1" applyBorder="1" applyAlignment="1">
      <alignment vertical="center"/>
    </xf>
    <xf numFmtId="3" fontId="16" fillId="0" borderId="0" xfId="0" applyNumberFormat="1" applyFont="1" applyBorder="1" applyAlignment="1">
      <alignment horizontal="right" vertical="center"/>
    </xf>
    <xf numFmtId="4" fontId="16" fillId="0" borderId="0" xfId="0" applyNumberFormat="1" applyFont="1" applyBorder="1" applyAlignment="1">
      <alignment vertical="center"/>
    </xf>
    <xf numFmtId="0" fontId="3" fillId="0" borderId="7" xfId="0" applyFont="1" applyBorder="1" applyAlignment="1">
      <alignment horizontal="left" vertical="center"/>
    </xf>
    <xf numFmtId="4" fontId="3" fillId="0" borderId="9" xfId="0" applyNumberFormat="1" applyFont="1" applyBorder="1" applyAlignment="1">
      <alignment vertical="center"/>
    </xf>
    <xf numFmtId="164" fontId="3" fillId="17" borderId="0" xfId="0" applyNumberFormat="1" applyFont="1" applyFill="1" applyBorder="1" applyAlignment="1">
      <alignment vertical="center"/>
    </xf>
    <xf numFmtId="0" fontId="3" fillId="17" borderId="9" xfId="0" applyFont="1" applyFill="1" applyBorder="1" applyAlignment="1">
      <alignment vertical="center" shrinkToFit="1"/>
    </xf>
    <xf numFmtId="0" fontId="5" fillId="11" borderId="9" xfId="0" applyFont="1" applyFill="1" applyBorder="1" applyAlignment="1">
      <alignment horizontal="center" vertical="center" shrinkToFit="1"/>
    </xf>
    <xf numFmtId="0" fontId="5" fillId="16" borderId="9" xfId="0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4" fontId="18" fillId="0" borderId="13" xfId="0" applyNumberFormat="1" applyFont="1" applyBorder="1" applyAlignment="1">
      <alignment vertical="center"/>
    </xf>
    <xf numFmtId="2" fontId="3" fillId="0" borderId="6" xfId="0" applyNumberFormat="1" applyFont="1" applyBorder="1" applyAlignment="1">
      <alignment vertical="center"/>
    </xf>
    <xf numFmtId="0" fontId="16" fillId="16" borderId="0" xfId="0" applyFont="1" applyFill="1" applyAlignment="1">
      <alignment vertical="center"/>
    </xf>
    <xf numFmtId="0" fontId="3" fillId="17" borderId="0" xfId="0" applyFont="1" applyFill="1" applyBorder="1" applyAlignment="1">
      <alignment horizontal="left" vertical="center"/>
    </xf>
    <xf numFmtId="0" fontId="5" fillId="16" borderId="0" xfId="0" applyFont="1" applyFill="1" applyBorder="1" applyAlignment="1">
      <alignment horizontal="center" vertical="center"/>
    </xf>
    <xf numFmtId="3" fontId="16" fillId="0" borderId="4" xfId="0" applyNumberFormat="1" applyFont="1" applyBorder="1" applyAlignment="1">
      <alignment horizontal="right" vertical="center"/>
    </xf>
    <xf numFmtId="3" fontId="18" fillId="0" borderId="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right" vertical="center"/>
    </xf>
    <xf numFmtId="2" fontId="3" fillId="0" borderId="5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right" vertical="center"/>
    </xf>
    <xf numFmtId="2" fontId="3" fillId="0" borderId="10" xfId="0" applyNumberFormat="1" applyFont="1" applyBorder="1" applyAlignment="1">
      <alignment horizontal="right" vertical="center"/>
    </xf>
    <xf numFmtId="2" fontId="3" fillId="0" borderId="4" xfId="0" applyNumberFormat="1" applyFont="1" applyBorder="1" applyAlignment="1">
      <alignment vertical="center"/>
    </xf>
    <xf numFmtId="0" fontId="3" fillId="14" borderId="11" xfId="0" applyFont="1" applyFill="1" applyBorder="1" applyAlignment="1">
      <alignment horizontal="center" vertical="center"/>
    </xf>
    <xf numFmtId="2" fontId="16" fillId="0" borderId="5" xfId="0" applyNumberFormat="1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1" fontId="18" fillId="0" borderId="4" xfId="0" applyNumberFormat="1" applyFont="1" applyFill="1" applyBorder="1" applyAlignment="1">
      <alignment horizontal="right" vertical="center"/>
    </xf>
    <xf numFmtId="1" fontId="18" fillId="0" borderId="7" xfId="0" applyNumberFormat="1" applyFont="1" applyFill="1" applyBorder="1" applyAlignment="1">
      <alignment horizontal="right" vertical="center"/>
    </xf>
    <xf numFmtId="2" fontId="3" fillId="0" borderId="9" xfId="0" applyNumberFormat="1" applyFont="1" applyBorder="1" applyAlignment="1">
      <alignment horizontal="right" vertical="center"/>
    </xf>
    <xf numFmtId="1" fontId="18" fillId="0" borderId="8" xfId="0" applyNumberFormat="1" applyFont="1" applyFill="1" applyBorder="1" applyAlignment="1">
      <alignment horizontal="right" vertical="center"/>
    </xf>
    <xf numFmtId="1" fontId="18" fillId="0" borderId="5" xfId="0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170" fontId="3" fillId="0" borderId="5" xfId="0" applyNumberFormat="1" applyFont="1" applyBorder="1" applyAlignment="1">
      <alignment vertical="center" shrinkToFit="1"/>
    </xf>
    <xf numFmtId="0" fontId="3" fillId="0" borderId="10" xfId="0" applyFont="1" applyBorder="1" applyAlignment="1">
      <alignment vertical="center" shrinkToFit="1"/>
    </xf>
    <xf numFmtId="0" fontId="3" fillId="0" borderId="6" xfId="0" applyFont="1" applyBorder="1" applyAlignment="1">
      <alignment vertical="center" shrinkToFit="1"/>
    </xf>
    <xf numFmtId="170" fontId="3" fillId="0" borderId="6" xfId="0" applyNumberFormat="1" applyFont="1" applyBorder="1" applyAlignment="1">
      <alignment vertical="center" shrinkToFit="1"/>
    </xf>
    <xf numFmtId="170" fontId="3" fillId="0" borderId="11" xfId="0" applyNumberFormat="1" applyFont="1" applyBorder="1" applyAlignment="1">
      <alignment vertical="center" shrinkToFit="1"/>
    </xf>
    <xf numFmtId="170" fontId="3" fillId="0" borderId="4" xfId="0" applyNumberFormat="1" applyFont="1" applyFill="1" applyBorder="1" applyAlignment="1">
      <alignment vertical="center" shrinkToFit="1"/>
    </xf>
    <xf numFmtId="170" fontId="6" fillId="0" borderId="10" xfId="0" applyNumberFormat="1" applyFont="1" applyFill="1" applyBorder="1" applyAlignment="1">
      <alignment vertical="center" shrinkToFit="1"/>
    </xf>
    <xf numFmtId="170" fontId="6" fillId="0" borderId="11" xfId="0" applyNumberFormat="1" applyFont="1" applyFill="1" applyBorder="1" applyAlignment="1">
      <alignment vertical="center" shrinkToFit="1"/>
    </xf>
    <xf numFmtId="2" fontId="3" fillId="0" borderId="4" xfId="0" applyNumberFormat="1" applyFont="1" applyFill="1" applyBorder="1" applyAlignment="1">
      <alignment vertical="center" shrinkToFit="1"/>
    </xf>
    <xf numFmtId="170" fontId="6" fillId="0" borderId="6" xfId="0" applyNumberFormat="1" applyFont="1" applyFill="1" applyBorder="1" applyAlignment="1">
      <alignment vertical="center" shrinkToFit="1"/>
    </xf>
    <xf numFmtId="0" fontId="6" fillId="0" borderId="6" xfId="0" applyFont="1" applyFill="1" applyBorder="1" applyAlignment="1">
      <alignment vertical="center" shrinkToFit="1"/>
    </xf>
    <xf numFmtId="164" fontId="3" fillId="0" borderId="9" xfId="0" applyNumberFormat="1" applyFont="1" applyBorder="1" applyAlignment="1">
      <alignment horizontal="right" vertical="center"/>
    </xf>
    <xf numFmtId="1" fontId="18" fillId="0" borderId="1" xfId="0" applyNumberFormat="1" applyFont="1" applyFill="1" applyBorder="1" applyAlignment="1">
      <alignment horizontal="right" vertical="center"/>
    </xf>
    <xf numFmtId="0" fontId="3" fillId="0" borderId="6" xfId="0" quotePrefix="1" applyFont="1" applyBorder="1" applyAlignment="1">
      <alignment horizontal="right" vertical="center"/>
    </xf>
    <xf numFmtId="0" fontId="4" fillId="15" borderId="0" xfId="0" applyFont="1" applyFill="1" applyBorder="1" applyAlignment="1">
      <alignment vertical="center"/>
    </xf>
    <xf numFmtId="0" fontId="4" fillId="15" borderId="5" xfId="0" applyFont="1" applyFill="1" applyBorder="1" applyAlignment="1">
      <alignment vertical="center"/>
    </xf>
    <xf numFmtId="0" fontId="4" fillId="15" borderId="0" xfId="0" quotePrefix="1" applyFont="1" applyFill="1" applyBorder="1" applyAlignment="1">
      <alignment horizontal="right" vertical="center"/>
    </xf>
    <xf numFmtId="2" fontId="20" fillId="18" borderId="6" xfId="0" applyNumberFormat="1" applyFont="1" applyFill="1" applyBorder="1" applyAlignment="1">
      <alignment vertical="center"/>
    </xf>
    <xf numFmtId="2" fontId="3" fillId="0" borderId="12" xfId="0" applyNumberFormat="1" applyFont="1" applyBorder="1" applyAlignment="1">
      <alignment vertical="center"/>
    </xf>
    <xf numFmtId="2" fontId="3" fillId="0" borderId="14" xfId="0" applyNumberFormat="1" applyFont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3" fontId="18" fillId="0" borderId="6" xfId="0" applyNumberFormat="1" applyFont="1" applyBorder="1" applyAlignment="1">
      <alignment horizontal="right" vertical="center"/>
    </xf>
    <xf numFmtId="4" fontId="18" fillId="0" borderId="6" xfId="0" applyNumberFormat="1" applyFont="1" applyBorder="1" applyAlignment="1">
      <alignment horizontal="right" vertical="center"/>
    </xf>
    <xf numFmtId="2" fontId="3" fillId="0" borderId="11" xfId="0" applyNumberFormat="1" applyFont="1" applyBorder="1" applyAlignment="1">
      <alignment vertical="center"/>
    </xf>
    <xf numFmtId="3" fontId="18" fillId="0" borderId="10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0" fontId="3" fillId="17" borderId="0" xfId="0" applyFont="1" applyFill="1" applyAlignment="1">
      <alignment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2" fontId="3" fillId="0" borderId="7" xfId="0" applyNumberFormat="1" applyFont="1" applyBorder="1" applyAlignment="1">
      <alignment vertical="center"/>
    </xf>
    <xf numFmtId="2" fontId="20" fillId="18" borderId="10" xfId="0" applyNumberFormat="1" applyFont="1" applyFill="1" applyBorder="1" applyAlignment="1">
      <alignment vertical="center"/>
    </xf>
    <xf numFmtId="0" fontId="3" fillId="14" borderId="15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right" vertical="center"/>
    </xf>
    <xf numFmtId="2" fontId="20" fillId="18" borderId="13" xfId="0" applyNumberFormat="1" applyFont="1" applyFill="1" applyBorder="1" applyAlignment="1">
      <alignment horizontal="right" vertical="center"/>
    </xf>
    <xf numFmtId="2" fontId="3" fillId="0" borderId="7" xfId="0" applyNumberFormat="1" applyFont="1" applyBorder="1" applyAlignment="1">
      <alignment horizontal="right" vertical="center"/>
    </xf>
    <xf numFmtId="4" fontId="3" fillId="0" borderId="0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2" fontId="3" fillId="0" borderId="1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2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  <xf numFmtId="4" fontId="3" fillId="0" borderId="4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4" fontId="3" fillId="0" borderId="9" xfId="0" applyNumberFormat="1" applyFont="1" applyBorder="1" applyAlignment="1">
      <alignment horizontal="right" vertical="center"/>
    </xf>
    <xf numFmtId="4" fontId="3" fillId="0" borderId="8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11" xfId="0" applyFont="1" applyFill="1" applyBorder="1" applyAlignment="1">
      <alignment vertical="center"/>
    </xf>
    <xf numFmtId="1" fontId="18" fillId="0" borderId="10" xfId="0" applyNumberFormat="1" applyFont="1" applyFill="1" applyBorder="1" applyAlignment="1">
      <alignment horizontal="right" vertical="center"/>
    </xf>
    <xf numFmtId="2" fontId="3" fillId="0" borderId="6" xfId="0" applyNumberFormat="1" applyFont="1" applyBorder="1" applyAlignment="1">
      <alignment horizontal="right" vertical="center"/>
    </xf>
    <xf numFmtId="2" fontId="3" fillId="0" borderId="11" xfId="0" applyNumberFormat="1" applyFont="1" applyBorder="1" applyAlignment="1">
      <alignment horizontal="right" vertical="center"/>
    </xf>
    <xf numFmtId="164" fontId="3" fillId="0" borderId="10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172" fontId="3" fillId="0" borderId="7" xfId="0" applyNumberFormat="1" applyFont="1" applyBorder="1" applyAlignment="1">
      <alignment vertical="center"/>
    </xf>
    <xf numFmtId="1" fontId="18" fillId="0" borderId="11" xfId="0" applyNumberFormat="1" applyFont="1" applyFill="1" applyBorder="1" applyAlignment="1">
      <alignment horizontal="right" vertical="center"/>
    </xf>
    <xf numFmtId="2" fontId="20" fillId="18" borderId="11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16" fillId="15" borderId="0" xfId="0" applyFont="1" applyFill="1"/>
    <xf numFmtId="0" fontId="3" fillId="0" borderId="11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3" fillId="0" borderId="12" xfId="0" applyFont="1" applyBorder="1"/>
    <xf numFmtId="0" fontId="3" fillId="0" borderId="6" xfId="0" applyFont="1" applyBorder="1" applyAlignment="1">
      <alignment horizontal="right" wrapText="1"/>
    </xf>
    <xf numFmtId="0" fontId="3" fillId="0" borderId="11" xfId="0" applyFont="1" applyBorder="1" applyAlignment="1">
      <alignment horizontal="right" wrapText="1"/>
    </xf>
    <xf numFmtId="4" fontId="4" fillId="0" borderId="0" xfId="0" applyNumberFormat="1" applyFont="1" applyBorder="1" applyAlignment="1">
      <alignment shrinkToFit="1"/>
    </xf>
    <xf numFmtId="167" fontId="4" fillId="0" borderId="0" xfId="0" applyNumberFormat="1" applyFont="1" applyBorder="1"/>
    <xf numFmtId="4" fontId="3" fillId="6" borderId="5" xfId="0" applyNumberFormat="1" applyFont="1" applyFill="1" applyBorder="1" applyAlignment="1">
      <alignment shrinkToFit="1"/>
    </xf>
    <xf numFmtId="4" fontId="18" fillId="0" borderId="0" xfId="0" applyNumberFormat="1" applyFont="1" applyBorder="1" applyAlignment="1">
      <alignment shrinkToFit="1"/>
    </xf>
    <xf numFmtId="4" fontId="18" fillId="0" borderId="9" xfId="0" applyNumberFormat="1" applyFont="1" applyBorder="1" applyAlignment="1">
      <alignment shrinkToFit="1"/>
    </xf>
    <xf numFmtId="4" fontId="3" fillId="6" borderId="9" xfId="0" applyNumberFormat="1" applyFont="1" applyFill="1" applyBorder="1" applyAlignment="1">
      <alignment shrinkToFit="1"/>
    </xf>
    <xf numFmtId="4" fontId="3" fillId="6" borderId="8" xfId="0" applyNumberFormat="1" applyFont="1" applyFill="1" applyBorder="1" applyAlignment="1">
      <alignment shrinkToFit="1"/>
    </xf>
    <xf numFmtId="0" fontId="18" fillId="8" borderId="0" xfId="0" applyFont="1" applyFill="1" applyAlignment="1">
      <alignment shrinkToFit="1"/>
    </xf>
    <xf numFmtId="4" fontId="3" fillId="0" borderId="4" xfId="0" applyNumberFormat="1" applyFont="1" applyBorder="1" applyAlignment="1">
      <alignment shrinkToFit="1"/>
    </xf>
    <xf numFmtId="4" fontId="3" fillId="0" borderId="7" xfId="0" applyNumberFormat="1" applyFont="1" applyBorder="1" applyAlignment="1">
      <alignment shrinkToFit="1"/>
    </xf>
    <xf numFmtId="0" fontId="3" fillId="0" borderId="5" xfId="0" applyFont="1" applyBorder="1" applyAlignment="1">
      <alignment horizontal="right"/>
    </xf>
    <xf numFmtId="167" fontId="4" fillId="0" borderId="4" xfId="0" applyNumberFormat="1" applyFont="1" applyBorder="1"/>
    <xf numFmtId="4" fontId="4" fillId="0" borderId="5" xfId="0" applyNumberFormat="1" applyFont="1" applyBorder="1" applyAlignment="1">
      <alignment shrinkToFit="1"/>
    </xf>
    <xf numFmtId="167" fontId="3" fillId="0" borderId="4" xfId="0" applyNumberFormat="1" applyFont="1" applyBorder="1"/>
    <xf numFmtId="167" fontId="3" fillId="0" borderId="7" xfId="0" applyNumberFormat="1" applyFont="1" applyBorder="1"/>
    <xf numFmtId="167" fontId="3" fillId="0" borderId="9" xfId="0" applyNumberFormat="1" applyFont="1" applyBorder="1"/>
    <xf numFmtId="4" fontId="4" fillId="0" borderId="8" xfId="0" applyNumberFormat="1" applyFont="1" applyBorder="1" applyAlignment="1">
      <alignment shrinkToFit="1"/>
    </xf>
    <xf numFmtId="0" fontId="3" fillId="0" borderId="10" xfId="0" applyFont="1" applyBorder="1" applyAlignment="1">
      <alignment horizontal="right" wrapText="1"/>
    </xf>
    <xf numFmtId="167" fontId="18" fillId="0" borderId="4" xfId="0" applyNumberFormat="1" applyFont="1" applyBorder="1"/>
    <xf numFmtId="167" fontId="18" fillId="0" borderId="7" xfId="0" applyNumberFormat="1" applyFont="1" applyBorder="1"/>
    <xf numFmtId="0" fontId="3" fillId="0" borderId="10" xfId="0" applyFont="1" applyBorder="1"/>
    <xf numFmtId="0" fontId="3" fillId="0" borderId="6" xfId="0" applyFont="1" applyBorder="1"/>
    <xf numFmtId="2" fontId="3" fillId="0" borderId="12" xfId="0" applyNumberFormat="1" applyFont="1" applyBorder="1"/>
    <xf numFmtId="2" fontId="3" fillId="0" borderId="14" xfId="0" applyNumberFormat="1" applyFont="1" applyBorder="1"/>
    <xf numFmtId="168" fontId="3" fillId="0" borderId="12" xfId="0" applyNumberFormat="1" applyFont="1" applyBorder="1"/>
    <xf numFmtId="168" fontId="3" fillId="0" borderId="14" xfId="0" applyNumberFormat="1" applyFont="1" applyBorder="1"/>
    <xf numFmtId="4" fontId="3" fillId="0" borderId="12" xfId="0" applyNumberFormat="1" applyFont="1" applyBorder="1" applyAlignment="1">
      <alignment shrinkToFit="1"/>
    </xf>
    <xf numFmtId="4" fontId="3" fillId="0" borderId="14" xfId="0" applyNumberFormat="1" applyFont="1" applyBorder="1" applyAlignment="1">
      <alignment shrinkToFit="1"/>
    </xf>
    <xf numFmtId="4" fontId="16" fillId="0" borderId="0" xfId="0" applyNumberFormat="1" applyFont="1" applyBorder="1" applyAlignment="1">
      <alignment horizontal="right"/>
    </xf>
    <xf numFmtId="4" fontId="16" fillId="0" borderId="9" xfId="0" applyNumberFormat="1" applyFont="1" applyBorder="1" applyAlignment="1">
      <alignment horizontal="right"/>
    </xf>
    <xf numFmtId="4" fontId="3" fillId="0" borderId="12" xfId="0" applyNumberFormat="1" applyFont="1" applyBorder="1" applyAlignment="1">
      <alignment horizontal="right"/>
    </xf>
    <xf numFmtId="4" fontId="3" fillId="0" borderId="14" xfId="0" applyNumberFormat="1" applyFont="1" applyBorder="1" applyAlignment="1">
      <alignment horizontal="right"/>
    </xf>
    <xf numFmtId="0" fontId="3" fillId="0" borderId="0" xfId="0" applyFont="1" applyBorder="1" applyAlignment="1">
      <alignment vertical="top" wrapText="1"/>
    </xf>
    <xf numFmtId="4" fontId="3" fillId="0" borderId="0" xfId="0" applyNumberFormat="1" applyFont="1" applyBorder="1" applyAlignment="1">
      <alignment vertical="top" wrapText="1"/>
    </xf>
    <xf numFmtId="4" fontId="3" fillId="0" borderId="0" xfId="0" applyNumberFormat="1" applyFont="1" applyBorder="1" applyAlignment="1">
      <alignment wrapText="1"/>
    </xf>
    <xf numFmtId="4" fontId="3" fillId="0" borderId="13" xfId="0" applyNumberFormat="1" applyFont="1" applyBorder="1" applyAlignment="1">
      <alignment horizontal="right"/>
    </xf>
    <xf numFmtId="164" fontId="18" fillId="0" borderId="0" xfId="0" applyNumberFormat="1" applyFont="1" applyBorder="1"/>
    <xf numFmtId="3" fontId="18" fillId="0" borderId="0" xfId="0" applyNumberFormat="1" applyFont="1" applyBorder="1"/>
    <xf numFmtId="0" fontId="18" fillId="0" borderId="0" xfId="0" applyFont="1" applyBorder="1"/>
    <xf numFmtId="3" fontId="4" fillId="0" borderId="4" xfId="0" applyNumberFormat="1" applyFont="1" applyBorder="1"/>
    <xf numFmtId="2" fontId="3" fillId="0" borderId="5" xfId="0" applyNumberFormat="1" applyFont="1" applyBorder="1"/>
    <xf numFmtId="3" fontId="3" fillId="9" borderId="7" xfId="0" applyNumberFormat="1" applyFont="1" applyFill="1" applyBorder="1"/>
    <xf numFmtId="2" fontId="3" fillId="0" borderId="8" xfId="0" applyNumberFormat="1" applyFont="1" applyBorder="1"/>
    <xf numFmtId="4" fontId="3" fillId="0" borderId="5" xfId="0" applyNumberFormat="1" applyFont="1" applyBorder="1"/>
    <xf numFmtId="4" fontId="3" fillId="0" borderId="5" xfId="0" applyNumberFormat="1" applyFont="1" applyFill="1" applyBorder="1"/>
    <xf numFmtId="167" fontId="5" fillId="5" borderId="4" xfId="1" applyNumberFormat="1" applyFont="1" applyFill="1" applyBorder="1"/>
    <xf numFmtId="0" fontId="3" fillId="0" borderId="8" xfId="0" applyFont="1" applyBorder="1"/>
    <xf numFmtId="167" fontId="3" fillId="0" borderId="12" xfId="1" applyNumberFormat="1" applyFont="1" applyFill="1" applyBorder="1"/>
    <xf numFmtId="0" fontId="3" fillId="0" borderId="14" xfId="0" applyFont="1" applyBorder="1"/>
    <xf numFmtId="167" fontId="3" fillId="4" borderId="4" xfId="1" applyNumberFormat="1" applyFont="1" applyFill="1" applyBorder="1"/>
    <xf numFmtId="0" fontId="8" fillId="0" borderId="0" xfId="0" applyFont="1"/>
    <xf numFmtId="4" fontId="3" fillId="0" borderId="4" xfId="0" applyNumberFormat="1" applyFont="1" applyBorder="1"/>
    <xf numFmtId="164" fontId="3" fillId="0" borderId="4" xfId="0" applyNumberFormat="1" applyFont="1" applyBorder="1"/>
    <xf numFmtId="0" fontId="3" fillId="19" borderId="0" xfId="0" applyFont="1" applyFill="1"/>
    <xf numFmtId="0" fontId="5" fillId="11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0" borderId="10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4" fontId="3" fillId="0" borderId="0" xfId="0" applyNumberFormat="1" applyFont="1" applyBorder="1" applyAlignment="1">
      <alignment vertical="center" shrinkToFit="1"/>
    </xf>
    <xf numFmtId="4" fontId="3" fillId="0" borderId="5" xfId="0" applyNumberFormat="1" applyFont="1" applyBorder="1" applyAlignment="1">
      <alignment vertical="center" shrinkToFit="1"/>
    </xf>
    <xf numFmtId="167" fontId="4" fillId="0" borderId="4" xfId="0" applyNumberFormat="1" applyFont="1" applyBorder="1" applyAlignment="1">
      <alignment vertical="center"/>
    </xf>
    <xf numFmtId="4" fontId="4" fillId="0" borderId="0" xfId="0" applyNumberFormat="1" applyFont="1" applyBorder="1" applyAlignment="1">
      <alignment vertical="center" shrinkToFit="1"/>
    </xf>
    <xf numFmtId="4" fontId="4" fillId="0" borderId="5" xfId="0" applyNumberFormat="1" applyFont="1" applyBorder="1" applyAlignment="1">
      <alignment vertical="center" shrinkToFit="1"/>
    </xf>
    <xf numFmtId="4" fontId="3" fillId="0" borderId="4" xfId="0" applyNumberFormat="1" applyFont="1" applyBorder="1" applyAlignment="1">
      <alignment vertical="center" shrinkToFit="1"/>
    </xf>
    <xf numFmtId="167" fontId="18" fillId="0" borderId="4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 shrinkToFit="1"/>
    </xf>
    <xf numFmtId="4" fontId="3" fillId="0" borderId="9" xfId="0" applyNumberFormat="1" applyFont="1" applyBorder="1" applyAlignment="1">
      <alignment vertical="center" shrinkToFit="1"/>
    </xf>
    <xf numFmtId="4" fontId="3" fillId="0" borderId="8" xfId="0" applyNumberFormat="1" applyFont="1" applyBorder="1" applyAlignment="1">
      <alignment vertical="center" shrinkToFit="1"/>
    </xf>
    <xf numFmtId="167" fontId="18" fillId="0" borderId="7" xfId="0" applyNumberFormat="1" applyFont="1" applyBorder="1" applyAlignment="1">
      <alignment vertical="center"/>
    </xf>
    <xf numFmtId="4" fontId="18" fillId="0" borderId="9" xfId="0" applyNumberFormat="1" applyFont="1" applyBorder="1" applyAlignment="1">
      <alignment vertical="center" shrinkToFit="1"/>
    </xf>
    <xf numFmtId="4" fontId="4" fillId="0" borderId="8" xfId="0" applyNumberFormat="1" applyFont="1" applyBorder="1" applyAlignment="1">
      <alignment vertical="center" shrinkToFit="1"/>
    </xf>
    <xf numFmtId="4" fontId="3" fillId="0" borderId="7" xfId="0" applyNumberFormat="1" applyFont="1" applyBorder="1" applyAlignment="1">
      <alignment vertical="center" shrinkToFit="1"/>
    </xf>
    <xf numFmtId="0" fontId="3" fillId="0" borderId="6" xfId="0" applyFont="1" applyFill="1" applyBorder="1" applyAlignment="1">
      <alignment horizontal="right" vertical="center" wrapText="1"/>
    </xf>
    <xf numFmtId="4" fontId="3" fillId="0" borderId="0" xfId="0" applyNumberFormat="1" applyFont="1" applyFill="1" applyBorder="1" applyAlignment="1">
      <alignment vertical="center" shrinkToFit="1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167" fontId="4" fillId="0" borderId="4" xfId="0" applyNumberFormat="1" applyFont="1" applyFill="1" applyBorder="1" applyAlignment="1">
      <alignment vertical="center"/>
    </xf>
    <xf numFmtId="4" fontId="4" fillId="0" borderId="0" xfId="0" applyNumberFormat="1" applyFont="1" applyFill="1" applyBorder="1" applyAlignment="1">
      <alignment vertical="center" shrinkToFit="1"/>
    </xf>
    <xf numFmtId="4" fontId="3" fillId="0" borderId="5" xfId="0" applyNumberFormat="1" applyFont="1" applyFill="1" applyBorder="1" applyAlignment="1">
      <alignment vertical="center" shrinkToFit="1"/>
    </xf>
    <xf numFmtId="167" fontId="18" fillId="0" borderId="4" xfId="0" applyNumberFormat="1" applyFont="1" applyFill="1" applyBorder="1" applyAlignment="1">
      <alignment vertical="center"/>
    </xf>
    <xf numFmtId="4" fontId="18" fillId="0" borderId="0" xfId="0" applyNumberFormat="1" applyFont="1" applyFill="1" applyBorder="1" applyAlignment="1">
      <alignment vertical="center" shrinkToFit="1"/>
    </xf>
    <xf numFmtId="0" fontId="3" fillId="0" borderId="7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167" fontId="18" fillId="0" borderId="7" xfId="0" applyNumberFormat="1" applyFont="1" applyFill="1" applyBorder="1" applyAlignment="1">
      <alignment vertical="center"/>
    </xf>
    <xf numFmtId="4" fontId="18" fillId="0" borderId="9" xfId="0" applyNumberFormat="1" applyFont="1" applyFill="1" applyBorder="1" applyAlignment="1">
      <alignment vertical="center" shrinkToFit="1"/>
    </xf>
    <xf numFmtId="4" fontId="3" fillId="0" borderId="8" xfId="0" applyNumberFormat="1" applyFont="1" applyFill="1" applyBorder="1" applyAlignment="1">
      <alignment vertical="center" shrinkToFit="1"/>
    </xf>
    <xf numFmtId="4" fontId="3" fillId="0" borderId="11" xfId="0" applyNumberFormat="1" applyFont="1" applyBorder="1" applyAlignment="1">
      <alignment horizontal="right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4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5" xfId="0" applyFont="1" applyFill="1" applyBorder="1" applyAlignment="1">
      <alignment horizontal="right"/>
    </xf>
    <xf numFmtId="167" fontId="4" fillId="0" borderId="4" xfId="0" applyNumberFormat="1" applyFont="1" applyFill="1" applyBorder="1"/>
    <xf numFmtId="167" fontId="4" fillId="0" borderId="0" xfId="0" applyNumberFormat="1" applyFont="1" applyFill="1" applyBorder="1"/>
    <xf numFmtId="4" fontId="3" fillId="0" borderId="0" xfId="0" applyNumberFormat="1" applyFont="1" applyFill="1" applyBorder="1" applyAlignment="1">
      <alignment shrinkToFit="1"/>
    </xf>
    <xf numFmtId="167" fontId="3" fillId="0" borderId="4" xfId="0" applyNumberFormat="1" applyFont="1" applyFill="1" applyBorder="1"/>
    <xf numFmtId="167" fontId="3" fillId="0" borderId="0" xfId="0" applyNumberFormat="1" applyFont="1" applyFill="1" applyBorder="1"/>
    <xf numFmtId="0" fontId="3" fillId="0" borderId="7" xfId="0" applyFont="1" applyFill="1" applyBorder="1" applyAlignment="1">
      <alignment horizontal="right"/>
    </xf>
    <xf numFmtId="0" fontId="3" fillId="0" borderId="9" xfId="0" applyFont="1" applyFill="1" applyBorder="1" applyAlignment="1">
      <alignment horizontal="right"/>
    </xf>
    <xf numFmtId="0" fontId="3" fillId="0" borderId="8" xfId="0" applyFont="1" applyFill="1" applyBorder="1" applyAlignment="1">
      <alignment horizontal="right"/>
    </xf>
    <xf numFmtId="167" fontId="3" fillId="0" borderId="7" xfId="0" applyNumberFormat="1" applyFont="1" applyFill="1" applyBorder="1"/>
    <xf numFmtId="167" fontId="3" fillId="0" borderId="9" xfId="0" applyNumberFormat="1" applyFont="1" applyFill="1" applyBorder="1"/>
    <xf numFmtId="4" fontId="3" fillId="0" borderId="9" xfId="0" applyNumberFormat="1" applyFont="1" applyFill="1" applyBorder="1" applyAlignment="1">
      <alignment shrinkToFit="1"/>
    </xf>
    <xf numFmtId="0" fontId="3" fillId="0" borderId="10" xfId="0" applyFont="1" applyFill="1" applyBorder="1"/>
    <xf numFmtId="0" fontId="3" fillId="0" borderId="6" xfId="0" applyFont="1" applyFill="1" applyBorder="1"/>
    <xf numFmtId="4" fontId="3" fillId="0" borderId="11" xfId="0" applyNumberFormat="1" applyFont="1" applyFill="1" applyBorder="1" applyAlignment="1">
      <alignment horizontal="right"/>
    </xf>
    <xf numFmtId="0" fontId="3" fillId="15" borderId="0" xfId="0" applyFont="1" applyFill="1" applyBorder="1" applyAlignment="1">
      <alignment horizontal="right" vertical="center" shrinkToFit="1"/>
    </xf>
    <xf numFmtId="0" fontId="3" fillId="0" borderId="12" xfId="0" applyFont="1" applyFill="1" applyBorder="1" applyAlignment="1">
      <alignment vertical="center"/>
    </xf>
    <xf numFmtId="4" fontId="3" fillId="0" borderId="12" xfId="0" applyNumberFormat="1" applyFont="1" applyFill="1" applyBorder="1" applyAlignment="1">
      <alignment horizontal="right" vertical="center" shrinkToFit="1"/>
    </xf>
    <xf numFmtId="4" fontId="3" fillId="0" borderId="14" xfId="0" applyNumberFormat="1" applyFont="1" applyFill="1" applyBorder="1" applyAlignment="1">
      <alignment horizontal="right" vertical="center" shrinkToFit="1"/>
    </xf>
    <xf numFmtId="4" fontId="4" fillId="0" borderId="4" xfId="0" applyNumberFormat="1" applyFont="1" applyFill="1" applyBorder="1" applyAlignment="1">
      <alignment vertical="center" shrinkToFit="1"/>
    </xf>
    <xf numFmtId="167" fontId="4" fillId="0" borderId="0" xfId="0" applyNumberFormat="1" applyFont="1" applyFill="1" applyBorder="1" applyAlignment="1">
      <alignment vertical="center"/>
    </xf>
    <xf numFmtId="4" fontId="4" fillId="0" borderId="7" xfId="0" applyNumberFormat="1" applyFont="1" applyFill="1" applyBorder="1" applyAlignment="1">
      <alignment vertical="center" shrinkToFit="1"/>
    </xf>
    <xf numFmtId="167" fontId="4" fillId="0" borderId="9" xfId="0" applyNumberFormat="1" applyFont="1" applyFill="1" applyBorder="1" applyAlignment="1">
      <alignment vertical="center"/>
    </xf>
    <xf numFmtId="4" fontId="16" fillId="0" borderId="5" xfId="0" applyNumberFormat="1" applyFont="1" applyFill="1" applyBorder="1" applyAlignment="1">
      <alignment vertical="center"/>
    </xf>
    <xf numFmtId="4" fontId="16" fillId="0" borderId="8" xfId="0" applyNumberFormat="1" applyFont="1" applyFill="1" applyBorder="1" applyAlignment="1">
      <alignment vertical="center"/>
    </xf>
    <xf numFmtId="0" fontId="3" fillId="0" borderId="13" xfId="0" applyFont="1" applyFill="1" applyBorder="1" applyAlignment="1">
      <alignment horizontal="right" vertical="center" shrinkToFit="1"/>
    </xf>
    <xf numFmtId="4" fontId="18" fillId="0" borderId="10" xfId="0" applyNumberFormat="1" applyFont="1" applyBorder="1" applyAlignment="1">
      <alignment horizontal="right" vertical="center" shrinkToFit="1"/>
    </xf>
    <xf numFmtId="167" fontId="18" fillId="0" borderId="6" xfId="0" applyNumberFormat="1" applyFont="1" applyBorder="1" applyAlignment="1">
      <alignment horizontal="right" vertical="center"/>
    </xf>
    <xf numFmtId="0" fontId="3" fillId="0" borderId="13" xfId="0" applyFont="1" applyFill="1" applyBorder="1" applyAlignment="1">
      <alignment horizontal="right" vertical="center"/>
    </xf>
    <xf numFmtId="4" fontId="4" fillId="0" borderId="4" xfId="0" applyNumberFormat="1" applyFont="1" applyBorder="1" applyAlignment="1">
      <alignment vertical="center" shrinkToFit="1"/>
    </xf>
    <xf numFmtId="167" fontId="4" fillId="0" borderId="0" xfId="0" applyNumberFormat="1" applyFont="1" applyBorder="1" applyAlignment="1">
      <alignment vertical="center"/>
    </xf>
    <xf numFmtId="167" fontId="16" fillId="0" borderId="5" xfId="0" applyNumberFormat="1" applyFont="1" applyBorder="1" applyAlignment="1">
      <alignment vertical="center"/>
    </xf>
    <xf numFmtId="4" fontId="3" fillId="0" borderId="12" xfId="0" applyNumberFormat="1" applyFont="1" applyFill="1" applyBorder="1" applyAlignment="1">
      <alignment vertical="center" shrinkToFit="1"/>
    </xf>
    <xf numFmtId="4" fontId="4" fillId="0" borderId="7" xfId="0" applyNumberFormat="1" applyFont="1" applyBorder="1" applyAlignment="1">
      <alignment vertical="center" shrinkToFit="1"/>
    </xf>
    <xf numFmtId="167" fontId="4" fillId="0" borderId="9" xfId="0" applyNumberFormat="1" applyFont="1" applyBorder="1" applyAlignment="1">
      <alignment vertical="center"/>
    </xf>
    <xf numFmtId="167" fontId="16" fillId="0" borderId="8" xfId="0" applyNumberFormat="1" applyFont="1" applyBorder="1" applyAlignment="1">
      <alignment vertical="center"/>
    </xf>
    <xf numFmtId="4" fontId="3" fillId="0" borderId="14" xfId="0" applyNumberFormat="1" applyFont="1" applyFill="1" applyBorder="1" applyAlignment="1">
      <alignment vertical="center" shrinkToFit="1"/>
    </xf>
    <xf numFmtId="0" fontId="3" fillId="0" borderId="10" xfId="0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vertical="center"/>
    </xf>
    <xf numFmtId="3" fontId="16" fillId="0" borderId="0" xfId="0" applyNumberFormat="1" applyFont="1" applyFill="1" applyBorder="1" applyAlignment="1">
      <alignment vertical="center"/>
    </xf>
    <xf numFmtId="167" fontId="3" fillId="0" borderId="0" xfId="1" applyNumberFormat="1" applyFont="1" applyFill="1" applyBorder="1" applyAlignment="1">
      <alignment vertical="center"/>
    </xf>
    <xf numFmtId="167" fontId="3" fillId="0" borderId="5" xfId="1" applyNumberFormat="1" applyFont="1" applyFill="1" applyBorder="1" applyAlignment="1">
      <alignment vertical="center"/>
    </xf>
    <xf numFmtId="4" fontId="3" fillId="15" borderId="4" xfId="0" applyNumberFormat="1" applyFont="1" applyFill="1" applyBorder="1" applyAlignment="1">
      <alignment vertical="center" shrinkToFit="1"/>
    </xf>
    <xf numFmtId="4" fontId="3" fillId="15" borderId="5" xfId="0" applyNumberFormat="1" applyFont="1" applyFill="1" applyBorder="1" applyAlignment="1">
      <alignment vertical="center" shrinkToFit="1"/>
    </xf>
    <xf numFmtId="4" fontId="3" fillId="15" borderId="7" xfId="0" applyNumberFormat="1" applyFont="1" applyFill="1" applyBorder="1" applyAlignment="1">
      <alignment vertical="center" shrinkToFit="1"/>
    </xf>
    <xf numFmtId="4" fontId="3" fillId="15" borderId="8" xfId="0" applyNumberFormat="1" applyFont="1" applyFill="1" applyBorder="1" applyAlignment="1">
      <alignment vertical="center" shrinkToFit="1"/>
    </xf>
    <xf numFmtId="4" fontId="3" fillId="15" borderId="4" xfId="0" applyNumberFormat="1" applyFont="1" applyFill="1" applyBorder="1" applyAlignment="1">
      <alignment shrinkToFit="1"/>
    </xf>
    <xf numFmtId="4" fontId="3" fillId="15" borderId="5" xfId="0" applyNumberFormat="1" applyFont="1" applyFill="1" applyBorder="1" applyAlignment="1">
      <alignment shrinkToFit="1"/>
    </xf>
    <xf numFmtId="4" fontId="3" fillId="15" borderId="8" xfId="0" applyNumberFormat="1" applyFont="1" applyFill="1" applyBorder="1" applyAlignment="1">
      <alignment shrinkToFit="1"/>
    </xf>
    <xf numFmtId="4" fontId="3" fillId="15" borderId="4" xfId="0" applyNumberFormat="1" applyFont="1" applyFill="1" applyBorder="1" applyAlignment="1">
      <alignment vertical="center"/>
    </xf>
    <xf numFmtId="4" fontId="3" fillId="15" borderId="7" xfId="0" applyNumberFormat="1" applyFont="1" applyFill="1" applyBorder="1" applyAlignment="1">
      <alignment vertical="center"/>
    </xf>
    <xf numFmtId="4" fontId="3" fillId="0" borderId="11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0" fontId="3" fillId="6" borderId="10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right" vertical="center"/>
    </xf>
    <xf numFmtId="0" fontId="3" fillId="6" borderId="6" xfId="0" applyFont="1" applyFill="1" applyBorder="1" applyAlignment="1">
      <alignment vertical="center"/>
    </xf>
    <xf numFmtId="0" fontId="3" fillId="6" borderId="11" xfId="0" applyFont="1" applyFill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15" borderId="0" xfId="0" applyFont="1" applyFill="1" applyBorder="1" applyAlignment="1">
      <alignment vertical="center"/>
    </xf>
    <xf numFmtId="0" fontId="3" fillId="13" borderId="0" xfId="0" applyFont="1" applyFill="1" applyBorder="1" applyAlignment="1">
      <alignment vertical="center"/>
    </xf>
    <xf numFmtId="0" fontId="3" fillId="13" borderId="5" xfId="0" applyFont="1" applyFill="1" applyBorder="1" applyAlignment="1">
      <alignment vertical="center"/>
    </xf>
    <xf numFmtId="0" fontId="3" fillId="15" borderId="4" xfId="0" applyFont="1" applyFill="1" applyBorder="1" applyAlignment="1">
      <alignment horizontal="right" vertical="center"/>
    </xf>
    <xf numFmtId="0" fontId="3" fillId="15" borderId="0" xfId="0" applyFont="1" applyFill="1" applyBorder="1" applyAlignment="1">
      <alignment horizontal="right" vertical="center"/>
    </xf>
    <xf numFmtId="0" fontId="3" fillId="15" borderId="0" xfId="0" applyFont="1" applyFill="1" applyBorder="1" applyAlignment="1">
      <alignment vertical="center" shrinkToFit="1"/>
    </xf>
    <xf numFmtId="0" fontId="3" fillId="13" borderId="0" xfId="0" applyFont="1" applyFill="1" applyBorder="1" applyAlignment="1">
      <alignment vertical="center" shrinkToFit="1"/>
    </xf>
    <xf numFmtId="0" fontId="3" fillId="13" borderId="5" xfId="0" applyFont="1" applyFill="1" applyBorder="1" applyAlignment="1">
      <alignment vertical="center" shrinkToFit="1"/>
    </xf>
    <xf numFmtId="0" fontId="6" fillId="15" borderId="0" xfId="0" applyFont="1" applyFill="1" applyBorder="1" applyAlignment="1">
      <alignment horizontal="right" vertical="center" shrinkToFit="1"/>
    </xf>
    <xf numFmtId="0" fontId="3" fillId="13" borderId="0" xfId="0" applyFont="1" applyFill="1" applyBorder="1" applyAlignment="1">
      <alignment horizontal="right" vertical="center" shrinkToFit="1"/>
    </xf>
    <xf numFmtId="0" fontId="6" fillId="13" borderId="0" xfId="0" applyFont="1" applyFill="1" applyBorder="1" applyAlignment="1">
      <alignment horizontal="right" vertical="center" shrinkToFit="1"/>
    </xf>
    <xf numFmtId="0" fontId="6" fillId="13" borderId="5" xfId="0" applyFont="1" applyFill="1" applyBorder="1" applyAlignment="1">
      <alignment horizontal="right" vertical="center" shrinkToFit="1"/>
    </xf>
    <xf numFmtId="0" fontId="3" fillId="2" borderId="0" xfId="0" applyFont="1" applyFill="1" applyAlignment="1">
      <alignment horizontal="right" vertical="center"/>
    </xf>
    <xf numFmtId="2" fontId="3" fillId="0" borderId="0" xfId="0" applyNumberFormat="1" applyFont="1" applyBorder="1" applyAlignment="1">
      <alignment horizontal="left" vertical="center"/>
    </xf>
    <xf numFmtId="4" fontId="3" fillId="0" borderId="0" xfId="0" applyNumberFormat="1" applyFont="1" applyBorder="1" applyAlignment="1">
      <alignment horizontal="right" vertical="center" shrinkToFit="1"/>
    </xf>
    <xf numFmtId="4" fontId="3" fillId="13" borderId="0" xfId="0" applyNumberFormat="1" applyFont="1" applyFill="1" applyBorder="1" applyAlignment="1">
      <alignment horizontal="right" vertical="center" shrinkToFit="1"/>
    </xf>
    <xf numFmtId="4" fontId="3" fillId="0" borderId="5" xfId="0" applyNumberFormat="1" applyFont="1" applyBorder="1" applyAlignment="1">
      <alignment horizontal="right" vertical="center" shrinkToFit="1"/>
    </xf>
    <xf numFmtId="2" fontId="9" fillId="0" borderId="0" xfId="0" applyNumberFormat="1" applyFont="1" applyBorder="1" applyAlignment="1">
      <alignment horizontal="left" vertical="center"/>
    </xf>
    <xf numFmtId="4" fontId="9" fillId="0" borderId="0" xfId="0" applyNumberFormat="1" applyFont="1" applyBorder="1" applyAlignment="1">
      <alignment horizontal="right" vertical="center" shrinkToFit="1"/>
    </xf>
    <xf numFmtId="4" fontId="3" fillId="0" borderId="0" xfId="0" applyNumberFormat="1" applyFont="1" applyFill="1" applyBorder="1" applyAlignment="1">
      <alignment horizontal="left" vertical="center"/>
    </xf>
    <xf numFmtId="4" fontId="3" fillId="0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 shrinkToFit="1"/>
    </xf>
    <xf numFmtId="0" fontId="3" fillId="15" borderId="4" xfId="0" applyFont="1" applyFill="1" applyBorder="1" applyAlignment="1">
      <alignment horizontal="left" vertical="center"/>
    </xf>
    <xf numFmtId="4" fontId="3" fillId="15" borderId="0" xfId="0" applyNumberFormat="1" applyFont="1" applyFill="1" applyBorder="1" applyAlignment="1">
      <alignment horizontal="left" vertical="center"/>
    </xf>
    <xf numFmtId="4" fontId="3" fillId="15" borderId="0" xfId="0" applyNumberFormat="1" applyFont="1" applyFill="1" applyBorder="1" applyAlignment="1">
      <alignment horizontal="right" vertical="center"/>
    </xf>
    <xf numFmtId="4" fontId="3" fillId="15" borderId="0" xfId="0" applyNumberFormat="1" applyFont="1" applyFill="1" applyBorder="1" applyAlignment="1">
      <alignment horizontal="right" vertical="center" shrinkToFit="1"/>
    </xf>
    <xf numFmtId="4" fontId="10" fillId="2" borderId="0" xfId="0" applyNumberFormat="1" applyFont="1" applyFill="1" applyAlignment="1">
      <alignment horizontal="right" vertical="center"/>
    </xf>
    <xf numFmtId="167" fontId="4" fillId="2" borderId="0" xfId="1" applyNumberFormat="1" applyFont="1" applyFill="1" applyAlignment="1">
      <alignment horizontal="right" vertical="center"/>
    </xf>
    <xf numFmtId="167" fontId="3" fillId="2" borderId="0" xfId="0" applyNumberFormat="1" applyFont="1" applyFill="1" applyAlignment="1">
      <alignment horizontal="right" vertical="center"/>
    </xf>
    <xf numFmtId="0" fontId="3" fillId="6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167" fontId="3" fillId="2" borderId="0" xfId="1" applyNumberFormat="1" applyFont="1" applyFill="1" applyAlignment="1">
      <alignment horizontal="right" vertical="center"/>
    </xf>
    <xf numFmtId="167" fontId="3" fillId="2" borderId="0" xfId="0" applyNumberFormat="1" applyFont="1" applyFill="1" applyAlignment="1">
      <alignment vertical="center"/>
    </xf>
    <xf numFmtId="0" fontId="9" fillId="0" borderId="4" xfId="0" applyFont="1" applyBorder="1" applyAlignment="1">
      <alignment horizontal="left" vertical="center"/>
    </xf>
    <xf numFmtId="4" fontId="9" fillId="0" borderId="5" xfId="0" applyNumberFormat="1" applyFont="1" applyBorder="1" applyAlignment="1">
      <alignment horizontal="right" vertical="center" shrinkToFit="1"/>
    </xf>
    <xf numFmtId="0" fontId="3" fillId="14" borderId="4" xfId="0" applyFont="1" applyFill="1" applyBorder="1" applyAlignment="1">
      <alignment horizontal="left" vertical="center"/>
    </xf>
    <xf numFmtId="4" fontId="3" fillId="14" borderId="0" xfId="0" applyNumberFormat="1" applyFont="1" applyFill="1" applyBorder="1" applyAlignment="1">
      <alignment horizontal="left" vertical="center"/>
    </xf>
    <xf numFmtId="4" fontId="3" fillId="14" borderId="0" xfId="0" applyNumberFormat="1" applyFont="1" applyFill="1" applyBorder="1" applyAlignment="1">
      <alignment horizontal="right" vertical="center"/>
    </xf>
    <xf numFmtId="4" fontId="3" fillId="14" borderId="0" xfId="0" applyNumberFormat="1" applyFont="1" applyFill="1" applyBorder="1" applyAlignment="1">
      <alignment horizontal="right" vertical="center" shrinkToFit="1"/>
    </xf>
    <xf numFmtId="4" fontId="10" fillId="2" borderId="0" xfId="0" applyNumberFormat="1" applyFont="1" applyFill="1" applyAlignment="1">
      <alignment vertical="center"/>
    </xf>
    <xf numFmtId="4" fontId="3" fillId="0" borderId="0" xfId="0" quotePrefix="1" applyNumberFormat="1" applyFont="1" applyBorder="1" applyAlignment="1">
      <alignment vertical="center" shrinkToFit="1"/>
    </xf>
    <xf numFmtId="0" fontId="3" fillId="0" borderId="0" xfId="0" applyFont="1" applyBorder="1" applyAlignment="1">
      <alignment horizontal="right" vertical="center" shrinkToFit="1"/>
    </xf>
    <xf numFmtId="0" fontId="3" fillId="0" borderId="9" xfId="0" applyFont="1" applyBorder="1" applyAlignment="1">
      <alignment horizontal="left" vertical="center"/>
    </xf>
    <xf numFmtId="0" fontId="3" fillId="0" borderId="9" xfId="0" applyFont="1" applyFill="1" applyBorder="1" applyAlignment="1">
      <alignment vertical="center" shrinkToFit="1"/>
    </xf>
    <xf numFmtId="0" fontId="3" fillId="0" borderId="9" xfId="0" applyFont="1" applyBorder="1" applyAlignment="1">
      <alignment horizontal="right" vertical="center" shrinkToFit="1"/>
    </xf>
    <xf numFmtId="0" fontId="3" fillId="0" borderId="9" xfId="0" applyFont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4" fontId="3" fillId="0" borderId="0" xfId="0" applyNumberFormat="1" applyFont="1" applyAlignment="1">
      <alignment vertical="center" shrinkToFit="1"/>
    </xf>
    <xf numFmtId="0" fontId="3" fillId="0" borderId="2" xfId="0" applyFont="1" applyFill="1" applyBorder="1" applyAlignment="1">
      <alignment vertical="center"/>
    </xf>
    <xf numFmtId="167" fontId="3" fillId="0" borderId="0" xfId="1" applyNumberFormat="1" applyFont="1" applyBorder="1" applyAlignment="1">
      <alignment horizontal="right" vertical="center"/>
    </xf>
    <xf numFmtId="167" fontId="3" fillId="0" borderId="0" xfId="1" applyNumberFormat="1" applyFont="1" applyFill="1" applyBorder="1" applyAlignment="1">
      <alignment horizontal="right" vertical="center"/>
    </xf>
    <xf numFmtId="4" fontId="3" fillId="0" borderId="5" xfId="0" applyNumberFormat="1" applyFont="1" applyBorder="1" applyAlignment="1">
      <alignment horizontal="right" vertical="center"/>
    </xf>
    <xf numFmtId="0" fontId="3" fillId="10" borderId="0" xfId="0" applyFont="1" applyFill="1" applyBorder="1" applyAlignment="1">
      <alignment vertical="center"/>
    </xf>
    <xf numFmtId="0" fontId="3" fillId="9" borderId="5" xfId="0" applyFont="1" applyFill="1" applyBorder="1" applyAlignment="1">
      <alignment horizontal="right" vertical="center"/>
    </xf>
    <xf numFmtId="4" fontId="3" fillId="0" borderId="0" xfId="0" applyNumberFormat="1" applyFont="1" applyBorder="1" applyAlignment="1">
      <alignment vertical="center"/>
    </xf>
    <xf numFmtId="4" fontId="3" fillId="6" borderId="5" xfId="0" applyNumberFormat="1" applyFont="1" applyFill="1" applyBorder="1" applyAlignment="1">
      <alignment horizontal="right" vertical="center" shrinkToFit="1"/>
    </xf>
    <xf numFmtId="4" fontId="3" fillId="10" borderId="0" xfId="0" applyNumberFormat="1" applyFont="1" applyFill="1" applyBorder="1" applyAlignment="1">
      <alignment horizontal="right" vertical="center"/>
    </xf>
    <xf numFmtId="2" fontId="3" fillId="0" borderId="0" xfId="0" applyNumberFormat="1" applyFont="1" applyFill="1" applyBorder="1" applyAlignment="1">
      <alignment horizontal="right" vertical="center"/>
    </xf>
    <xf numFmtId="2" fontId="3" fillId="9" borderId="5" xfId="0" applyNumberFormat="1" applyFont="1" applyFill="1" applyBorder="1" applyAlignment="1">
      <alignment horizontal="right" vertical="center"/>
    </xf>
    <xf numFmtId="170" fontId="3" fillId="0" borderId="0" xfId="0" applyNumberFormat="1" applyFont="1" applyFill="1" applyBorder="1" applyAlignment="1">
      <alignment vertical="center"/>
    </xf>
    <xf numFmtId="167" fontId="3" fillId="0" borderId="0" xfId="0" applyNumberFormat="1" applyFont="1" applyFill="1" applyBorder="1" applyAlignment="1">
      <alignment horizontal="right" vertical="center"/>
    </xf>
    <xf numFmtId="4" fontId="3" fillId="6" borderId="9" xfId="0" applyNumberFormat="1" applyFont="1" applyFill="1" applyBorder="1" applyAlignment="1">
      <alignment horizontal="right" vertical="center" shrinkToFit="1"/>
    </xf>
    <xf numFmtId="4" fontId="3" fillId="6" borderId="8" xfId="0" applyNumberFormat="1" applyFont="1" applyFill="1" applyBorder="1" applyAlignment="1">
      <alignment horizontal="right" vertical="center" shrinkToFit="1"/>
    </xf>
    <xf numFmtId="4" fontId="3" fillId="10" borderId="9" xfId="0" applyNumberFormat="1" applyFont="1" applyFill="1" applyBorder="1" applyAlignment="1">
      <alignment horizontal="right" vertical="center"/>
    </xf>
    <xf numFmtId="2" fontId="3" fillId="0" borderId="0" xfId="0" applyNumberFormat="1" applyFont="1" applyAlignment="1">
      <alignment vertical="center"/>
    </xf>
    <xf numFmtId="2" fontId="3" fillId="0" borderId="9" xfId="0" applyNumberFormat="1" applyFont="1" applyFill="1" applyBorder="1" applyAlignment="1">
      <alignment horizontal="right" vertical="center"/>
    </xf>
    <xf numFmtId="4" fontId="3" fillId="0" borderId="9" xfId="0" applyNumberFormat="1" applyFont="1" applyFill="1" applyBorder="1" applyAlignment="1">
      <alignment horizontal="right" vertical="center"/>
    </xf>
    <xf numFmtId="167" fontId="3" fillId="0" borderId="9" xfId="0" applyNumberFormat="1" applyFont="1" applyFill="1" applyBorder="1" applyAlignment="1">
      <alignment horizontal="right" vertical="center"/>
    </xf>
    <xf numFmtId="2" fontId="3" fillId="9" borderId="8" xfId="0" applyNumberFormat="1" applyFont="1" applyFill="1" applyBorder="1" applyAlignment="1">
      <alignment horizontal="right" vertical="center"/>
    </xf>
    <xf numFmtId="170" fontId="3" fillId="0" borderId="9" xfId="0" applyNumberFormat="1" applyFont="1" applyFill="1" applyBorder="1" applyAlignment="1">
      <alignment vertical="center"/>
    </xf>
    <xf numFmtId="4" fontId="3" fillId="0" borderId="9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4" fontId="3" fillId="0" borderId="4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4" xfId="0" applyFont="1" applyBorder="1" applyAlignment="1">
      <alignment horizontal="right" vertical="center"/>
    </xf>
    <xf numFmtId="4" fontId="3" fillId="0" borderId="6" xfId="0" applyNumberFormat="1" applyFont="1" applyBorder="1" applyAlignment="1">
      <alignment vertical="center" shrinkToFit="1"/>
    </xf>
    <xf numFmtId="4" fontId="3" fillId="0" borderId="11" xfId="0" applyNumberFormat="1" applyFont="1" applyBorder="1" applyAlignment="1">
      <alignment vertical="center" shrinkToFit="1"/>
    </xf>
    <xf numFmtId="0" fontId="5" fillId="0" borderId="0" xfId="0" applyFont="1" applyFill="1" applyAlignment="1">
      <alignment horizontal="center" vertical="center"/>
    </xf>
    <xf numFmtId="168" fontId="3" fillId="0" borderId="0" xfId="0" applyNumberFormat="1" applyFont="1" applyFill="1" applyBorder="1" applyAlignment="1">
      <alignment horizontal="right" vertical="center"/>
    </xf>
    <xf numFmtId="0" fontId="5" fillId="16" borderId="0" xfId="0" applyFont="1" applyFill="1" applyAlignment="1">
      <alignment horizontal="center" vertical="center"/>
    </xf>
    <xf numFmtId="168" fontId="3" fillId="0" borderId="4" xfId="0" applyNumberFormat="1" applyFont="1" applyFill="1" applyBorder="1"/>
    <xf numFmtId="167" fontId="3" fillId="0" borderId="4" xfId="1" applyNumberFormat="1" applyFont="1" applyBorder="1" applyAlignment="1">
      <alignment horizontal="right" vertical="center"/>
    </xf>
    <xf numFmtId="4" fontId="3" fillId="14" borderId="5" xfId="0" applyNumberFormat="1" applyFont="1" applyFill="1" applyBorder="1" applyAlignment="1">
      <alignment horizontal="right" vertical="center"/>
    </xf>
    <xf numFmtId="0" fontId="3" fillId="14" borderId="5" xfId="0" applyFont="1" applyFill="1" applyBorder="1" applyAlignment="1">
      <alignment vertical="center"/>
    </xf>
    <xf numFmtId="4" fontId="3" fillId="14" borderId="8" xfId="0" applyNumberFormat="1" applyFont="1" applyFill="1" applyBorder="1" applyAlignment="1">
      <alignment horizontal="right" vertical="center"/>
    </xf>
    <xf numFmtId="168" fontId="3" fillId="15" borderId="0" xfId="0" applyNumberFormat="1" applyFont="1" applyFill="1" applyBorder="1" applyAlignment="1">
      <alignment horizontal="right" vertical="center"/>
    </xf>
    <xf numFmtId="0" fontId="3" fillId="15" borderId="4" xfId="0" applyFont="1" applyFill="1" applyBorder="1" applyAlignment="1">
      <alignment vertical="center"/>
    </xf>
    <xf numFmtId="169" fontId="3" fillId="15" borderId="4" xfId="0" applyNumberFormat="1" applyFont="1" applyFill="1" applyBorder="1" applyAlignment="1">
      <alignment horizontal="right" vertical="center"/>
    </xf>
    <xf numFmtId="4" fontId="3" fillId="15" borderId="9" xfId="0" applyNumberFormat="1" applyFont="1" applyFill="1" applyBorder="1" applyAlignment="1">
      <alignment horizontal="right" vertical="center"/>
    </xf>
    <xf numFmtId="169" fontId="3" fillId="15" borderId="7" xfId="0" applyNumberFormat="1" applyFont="1" applyFill="1" applyBorder="1" applyAlignment="1">
      <alignment horizontal="right" vertical="center"/>
    </xf>
    <xf numFmtId="0" fontId="3" fillId="15" borderId="5" xfId="0" applyFont="1" applyFill="1" applyBorder="1" applyAlignment="1">
      <alignment vertical="center"/>
    </xf>
    <xf numFmtId="168" fontId="3" fillId="15" borderId="5" xfId="0" applyNumberFormat="1" applyFont="1" applyFill="1" applyBorder="1" applyAlignment="1">
      <alignment horizontal="right" vertical="center"/>
    </xf>
    <xf numFmtId="168" fontId="3" fillId="15" borderId="8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168" fontId="3" fillId="0" borderId="4" xfId="0" applyNumberFormat="1" applyFont="1" applyFill="1" applyBorder="1" applyAlignment="1">
      <alignment horizontal="right" vertical="center"/>
    </xf>
    <xf numFmtId="0" fontId="3" fillId="20" borderId="5" xfId="0" applyFont="1" applyFill="1" applyBorder="1" applyAlignment="1">
      <alignment vertical="center"/>
    </xf>
    <xf numFmtId="4" fontId="3" fillId="20" borderId="5" xfId="0" applyNumberFormat="1" applyFont="1" applyFill="1" applyBorder="1" applyAlignment="1">
      <alignment horizontal="right" vertical="center"/>
    </xf>
    <xf numFmtId="168" fontId="3" fillId="0" borderId="7" xfId="0" applyNumberFormat="1" applyFont="1" applyFill="1" applyBorder="1"/>
    <xf numFmtId="168" fontId="3" fillId="15" borderId="9" xfId="0" applyNumberFormat="1" applyFont="1" applyFill="1" applyBorder="1" applyAlignment="1">
      <alignment horizontal="right" vertical="center"/>
    </xf>
    <xf numFmtId="4" fontId="3" fillId="20" borderId="8" xfId="0" applyNumberFormat="1" applyFont="1" applyFill="1" applyBorder="1" applyAlignment="1">
      <alignment horizontal="right" vertical="center"/>
    </xf>
    <xf numFmtId="0" fontId="3" fillId="14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6" borderId="5" xfId="0" applyFont="1" applyFill="1" applyBorder="1" applyAlignment="1">
      <alignment horizontal="right" vertical="center"/>
    </xf>
    <xf numFmtId="2" fontId="3" fillId="6" borderId="5" xfId="0" applyNumberFormat="1" applyFont="1" applyFill="1" applyBorder="1" applyAlignment="1">
      <alignment horizontal="right" vertical="center"/>
    </xf>
    <xf numFmtId="4" fontId="3" fillId="0" borderId="4" xfId="0" applyNumberFormat="1" applyFont="1" applyFill="1" applyBorder="1" applyAlignment="1">
      <alignment horizontal="right" vertical="center"/>
    </xf>
    <xf numFmtId="4" fontId="3" fillId="0" borderId="7" xfId="0" applyNumberFormat="1" applyFont="1" applyFill="1" applyBorder="1" applyAlignment="1">
      <alignment horizontal="right" vertical="center"/>
    </xf>
    <xf numFmtId="2" fontId="3" fillId="6" borderId="8" xfId="0" applyNumberFormat="1" applyFont="1" applyFill="1" applyBorder="1" applyAlignment="1">
      <alignment horizontal="right" vertical="center"/>
    </xf>
    <xf numFmtId="2" fontId="3" fillId="0" borderId="4" xfId="0" applyNumberFormat="1" applyFont="1" applyFill="1" applyBorder="1" applyAlignment="1">
      <alignment horizontal="right" vertical="center"/>
    </xf>
    <xf numFmtId="2" fontId="3" fillId="0" borderId="7" xfId="0" applyNumberFormat="1" applyFont="1" applyFill="1" applyBorder="1" applyAlignment="1">
      <alignment horizontal="right" vertical="center"/>
    </xf>
    <xf numFmtId="0" fontId="3" fillId="21" borderId="0" xfId="0" applyFont="1" applyFill="1" applyAlignment="1">
      <alignment horizontal="right" vertical="center"/>
    </xf>
    <xf numFmtId="0" fontId="3" fillId="21" borderId="0" xfId="0" applyFont="1" applyFill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9" borderId="3" xfId="0" applyFont="1" applyFill="1" applyBorder="1" applyAlignment="1">
      <alignment vertical="center"/>
    </xf>
    <xf numFmtId="0" fontId="3" fillId="6" borderId="15" xfId="0" applyFont="1" applyFill="1" applyBorder="1" applyAlignment="1">
      <alignment horizontal="right" vertical="center"/>
    </xf>
    <xf numFmtId="4" fontId="3" fillId="6" borderId="12" xfId="0" applyNumberFormat="1" applyFont="1" applyFill="1" applyBorder="1" applyAlignment="1">
      <alignment horizontal="right" vertical="center"/>
    </xf>
    <xf numFmtId="4" fontId="3" fillId="6" borderId="14" xfId="0" applyNumberFormat="1" applyFont="1" applyFill="1" applyBorder="1" applyAlignment="1">
      <alignment horizontal="right" vertical="center"/>
    </xf>
    <xf numFmtId="167" fontId="3" fillId="0" borderId="4" xfId="1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6" borderId="3" xfId="0" applyFont="1" applyFill="1" applyBorder="1" applyAlignment="1">
      <alignment vertical="center"/>
    </xf>
    <xf numFmtId="170" fontId="3" fillId="0" borderId="4" xfId="0" applyNumberFormat="1" applyFont="1" applyFill="1" applyBorder="1" applyAlignment="1">
      <alignment vertical="center"/>
    </xf>
    <xf numFmtId="170" fontId="3" fillId="0" borderId="7" xfId="0" applyNumberFormat="1" applyFont="1" applyFill="1" applyBorder="1" applyAlignment="1">
      <alignment vertical="center"/>
    </xf>
    <xf numFmtId="170" fontId="3" fillId="16" borderId="0" xfId="0" applyNumberFormat="1" applyFont="1" applyFill="1" applyAlignment="1">
      <alignment horizontal="right" vertical="center" shrinkToFit="1"/>
    </xf>
    <xf numFmtId="0" fontId="5" fillId="16" borderId="0" xfId="0" applyFont="1" applyFill="1" applyBorder="1" applyAlignment="1">
      <alignment horizontal="center" vertical="center" shrinkToFit="1"/>
    </xf>
    <xf numFmtId="170" fontId="3" fillId="0" borderId="0" xfId="0" applyNumberFormat="1" applyFont="1" applyFill="1" applyAlignment="1">
      <alignment vertical="center" shrinkToFit="1"/>
    </xf>
    <xf numFmtId="0" fontId="3" fillId="0" borderId="0" xfId="0" applyFont="1" applyFill="1" applyAlignment="1">
      <alignment vertical="center" shrinkToFit="1"/>
    </xf>
    <xf numFmtId="9" fontId="3" fillId="0" borderId="0" xfId="1" applyFont="1" applyFill="1" applyAlignment="1">
      <alignment vertical="center" shrinkToFit="1"/>
    </xf>
    <xf numFmtId="170" fontId="3" fillId="0" borderId="0" xfId="0" applyNumberFormat="1" applyFont="1" applyFill="1" applyAlignment="1">
      <alignment horizontal="right" vertical="center" shrinkToFit="1"/>
    </xf>
    <xf numFmtId="170" fontId="21" fillId="16" borderId="0" xfId="0" applyNumberFormat="1" applyFont="1" applyFill="1" applyAlignment="1">
      <alignment horizontal="right" vertical="center" shrinkToFit="1"/>
    </xf>
    <xf numFmtId="0" fontId="16" fillId="16" borderId="0" xfId="0" applyFont="1" applyFill="1" applyAlignment="1">
      <alignment vertical="center" shrinkToFit="1"/>
    </xf>
    <xf numFmtId="0" fontId="3" fillId="0" borderId="0" xfId="0" applyFont="1" applyFill="1" applyBorder="1" applyAlignment="1">
      <alignment horizontal="right" vertical="center" shrinkToFit="1"/>
    </xf>
    <xf numFmtId="0" fontId="3" fillId="0" borderId="13" xfId="0" applyFont="1" applyBorder="1" applyAlignment="1">
      <alignment horizontal="right" vertical="center" shrinkToFit="1"/>
    </xf>
    <xf numFmtId="4" fontId="16" fillId="16" borderId="0" xfId="0" applyNumberFormat="1" applyFont="1" applyFill="1" applyBorder="1" applyAlignment="1">
      <alignment horizontal="right" vertical="center" shrinkToFit="1"/>
    </xf>
    <xf numFmtId="3" fontId="18" fillId="0" borderId="0" xfId="0" applyNumberFormat="1" applyFont="1" applyFill="1" applyBorder="1" applyAlignment="1">
      <alignment horizontal="right" vertical="center" shrinkToFit="1"/>
    </xf>
    <xf numFmtId="168" fontId="3" fillId="16" borderId="0" xfId="0" applyNumberFormat="1" applyFont="1" applyFill="1" applyAlignment="1">
      <alignment horizontal="right" vertical="center"/>
    </xf>
    <xf numFmtId="3" fontId="3" fillId="13" borderId="0" xfId="0" applyNumberFormat="1" applyFont="1" applyFill="1" applyBorder="1" applyAlignment="1">
      <alignment horizontal="right" vertical="center" shrinkToFit="1"/>
    </xf>
    <xf numFmtId="3" fontId="3" fillId="13" borderId="6" xfId="0" applyNumberFormat="1" applyFont="1" applyFill="1" applyBorder="1" applyAlignment="1">
      <alignment horizontal="right" vertical="center" shrinkToFit="1"/>
    </xf>
    <xf numFmtId="3" fontId="3" fillId="22" borderId="6" xfId="0" applyNumberFormat="1" applyFont="1" applyFill="1" applyBorder="1" applyAlignment="1">
      <alignment horizontal="right" vertical="center" shrinkToFit="1"/>
    </xf>
    <xf numFmtId="0" fontId="3" fillId="14" borderId="6" xfId="0" applyFont="1" applyFill="1" applyBorder="1" applyAlignment="1">
      <alignment horizontal="right" vertical="center" shrinkToFit="1"/>
    </xf>
    <xf numFmtId="0" fontId="3" fillId="23" borderId="6" xfId="0" applyFont="1" applyFill="1" applyBorder="1" applyAlignment="1">
      <alignment horizontal="right" vertical="center" shrinkToFit="1"/>
    </xf>
    <xf numFmtId="0" fontId="3" fillId="24" borderId="6" xfId="0" applyFont="1" applyFill="1" applyBorder="1" applyAlignment="1">
      <alignment horizontal="right" vertical="center" shrinkToFit="1"/>
    </xf>
    <xf numFmtId="3" fontId="3" fillId="22" borderId="0" xfId="0" applyNumberFormat="1" applyFont="1" applyFill="1" applyBorder="1" applyAlignment="1">
      <alignment vertical="center" shrinkToFit="1"/>
    </xf>
    <xf numFmtId="168" fontId="3" fillId="14" borderId="0" xfId="0" applyNumberFormat="1" applyFont="1" applyFill="1" applyBorder="1" applyAlignment="1">
      <alignment vertical="center" shrinkToFit="1"/>
    </xf>
    <xf numFmtId="3" fontId="3" fillId="14" borderId="0" xfId="0" applyNumberFormat="1" applyFont="1" applyFill="1" applyBorder="1" applyAlignment="1">
      <alignment vertical="center" shrinkToFit="1"/>
    </xf>
    <xf numFmtId="173" fontId="3" fillId="14" borderId="0" xfId="0" applyNumberFormat="1" applyFont="1" applyFill="1" applyBorder="1" applyAlignment="1">
      <alignment vertical="center" shrinkToFit="1"/>
    </xf>
    <xf numFmtId="168" fontId="3" fillId="23" borderId="0" xfId="0" applyNumberFormat="1" applyFont="1" applyFill="1" applyBorder="1" applyAlignment="1">
      <alignment vertical="center" shrinkToFit="1"/>
    </xf>
    <xf numFmtId="3" fontId="3" fillId="23" borderId="0" xfId="0" applyNumberFormat="1" applyFont="1" applyFill="1" applyBorder="1" applyAlignment="1">
      <alignment vertical="center" shrinkToFit="1"/>
    </xf>
    <xf numFmtId="173" fontId="3" fillId="23" borderId="0" xfId="0" applyNumberFormat="1" applyFont="1" applyFill="1" applyBorder="1" applyAlignment="1">
      <alignment vertical="center" shrinkToFit="1"/>
    </xf>
    <xf numFmtId="168" fontId="3" fillId="24" borderId="0" xfId="0" applyNumberFormat="1" applyFont="1" applyFill="1" applyBorder="1" applyAlignment="1">
      <alignment vertical="center" shrinkToFit="1"/>
    </xf>
    <xf numFmtId="3" fontId="3" fillId="24" borderId="0" xfId="0" applyNumberFormat="1" applyFont="1" applyFill="1" applyBorder="1" applyAlignment="1">
      <alignment vertical="center" shrinkToFit="1"/>
    </xf>
    <xf numFmtId="173" fontId="3" fillId="24" borderId="0" xfId="0" applyNumberFormat="1" applyFont="1" applyFill="1" applyBorder="1" applyAlignment="1">
      <alignment vertical="center" shrinkToFit="1"/>
    </xf>
    <xf numFmtId="3" fontId="3" fillId="13" borderId="2" xfId="0" applyNumberFormat="1" applyFont="1" applyFill="1" applyBorder="1" applyAlignment="1">
      <alignment horizontal="right" vertical="center" shrinkToFit="1"/>
    </xf>
    <xf numFmtId="3" fontId="3" fillId="22" borderId="2" xfId="0" applyNumberFormat="1" applyFont="1" applyFill="1" applyBorder="1" applyAlignment="1">
      <alignment vertical="center" shrinkToFit="1"/>
    </xf>
    <xf numFmtId="168" fontId="3" fillId="14" borderId="2" xfId="0" applyNumberFormat="1" applyFont="1" applyFill="1" applyBorder="1" applyAlignment="1">
      <alignment vertical="center" shrinkToFit="1"/>
    </xf>
    <xf numFmtId="3" fontId="3" fillId="14" borderId="2" xfId="0" applyNumberFormat="1" applyFont="1" applyFill="1" applyBorder="1" applyAlignment="1">
      <alignment vertical="center" shrinkToFit="1"/>
    </xf>
    <xf numFmtId="173" fontId="3" fillId="14" borderId="2" xfId="0" applyNumberFormat="1" applyFont="1" applyFill="1" applyBorder="1" applyAlignment="1">
      <alignment vertical="center" shrinkToFit="1"/>
    </xf>
    <xf numFmtId="168" fontId="3" fillId="23" borderId="2" xfId="0" applyNumberFormat="1" applyFont="1" applyFill="1" applyBorder="1" applyAlignment="1">
      <alignment vertical="center" shrinkToFit="1"/>
    </xf>
    <xf numFmtId="3" fontId="3" fillId="23" borderId="2" xfId="0" applyNumberFormat="1" applyFont="1" applyFill="1" applyBorder="1" applyAlignment="1">
      <alignment vertical="center" shrinkToFit="1"/>
    </xf>
    <xf numFmtId="173" fontId="3" fillId="23" borderId="2" xfId="0" applyNumberFormat="1" applyFont="1" applyFill="1" applyBorder="1" applyAlignment="1">
      <alignment vertical="center" shrinkToFit="1"/>
    </xf>
    <xf numFmtId="168" fontId="3" fillId="24" borderId="2" xfId="0" applyNumberFormat="1" applyFont="1" applyFill="1" applyBorder="1" applyAlignment="1">
      <alignment vertical="center" shrinkToFit="1"/>
    </xf>
    <xf numFmtId="3" fontId="3" fillId="24" borderId="2" xfId="0" applyNumberFormat="1" applyFont="1" applyFill="1" applyBorder="1" applyAlignment="1">
      <alignment vertical="center" shrinkToFit="1"/>
    </xf>
    <xf numFmtId="173" fontId="3" fillId="24" borderId="2" xfId="0" applyNumberFormat="1" applyFont="1" applyFill="1" applyBorder="1" applyAlignment="1">
      <alignment vertical="center" shrinkToFit="1"/>
    </xf>
    <xf numFmtId="3" fontId="6" fillId="13" borderId="2" xfId="0" applyNumberFormat="1" applyFont="1" applyFill="1" applyBorder="1" applyAlignment="1">
      <alignment horizontal="right" vertical="center" shrinkToFit="1"/>
    </xf>
    <xf numFmtId="3" fontId="6" fillId="22" borderId="2" xfId="0" applyNumberFormat="1" applyFont="1" applyFill="1" applyBorder="1" applyAlignment="1">
      <alignment vertical="center" shrinkToFit="1"/>
    </xf>
    <xf numFmtId="168" fontId="6" fillId="14" borderId="2" xfId="0" applyNumberFormat="1" applyFont="1" applyFill="1" applyBorder="1" applyAlignment="1">
      <alignment vertical="center" shrinkToFit="1"/>
    </xf>
    <xf numFmtId="3" fontId="6" fillId="14" borderId="2" xfId="0" applyNumberFormat="1" applyFont="1" applyFill="1" applyBorder="1" applyAlignment="1">
      <alignment vertical="center" shrinkToFit="1"/>
    </xf>
    <xf numFmtId="173" fontId="6" fillId="14" borderId="2" xfId="0" applyNumberFormat="1" applyFont="1" applyFill="1" applyBorder="1" applyAlignment="1">
      <alignment vertical="center" shrinkToFit="1"/>
    </xf>
    <xf numFmtId="168" fontId="6" fillId="23" borderId="2" xfId="0" applyNumberFormat="1" applyFont="1" applyFill="1" applyBorder="1" applyAlignment="1">
      <alignment vertical="center" shrinkToFit="1"/>
    </xf>
    <xf numFmtId="3" fontId="6" fillId="23" borderId="2" xfId="0" applyNumberFormat="1" applyFont="1" applyFill="1" applyBorder="1" applyAlignment="1">
      <alignment vertical="center" shrinkToFit="1"/>
    </xf>
    <xf numFmtId="173" fontId="6" fillId="23" borderId="2" xfId="0" applyNumberFormat="1" applyFont="1" applyFill="1" applyBorder="1" applyAlignment="1">
      <alignment vertical="center" shrinkToFit="1"/>
    </xf>
    <xf numFmtId="168" fontId="6" fillId="24" borderId="2" xfId="0" applyNumberFormat="1" applyFont="1" applyFill="1" applyBorder="1" applyAlignment="1">
      <alignment vertical="center" shrinkToFit="1"/>
    </xf>
    <xf numFmtId="3" fontId="6" fillId="24" borderId="2" xfId="0" applyNumberFormat="1" applyFont="1" applyFill="1" applyBorder="1" applyAlignment="1">
      <alignment vertical="center" shrinkToFit="1"/>
    </xf>
    <xf numFmtId="173" fontId="6" fillId="24" borderId="2" xfId="0" applyNumberFormat="1" applyFont="1" applyFill="1" applyBorder="1" applyAlignment="1">
      <alignment vertical="center" shrinkToFit="1"/>
    </xf>
    <xf numFmtId="168" fontId="6" fillId="14" borderId="9" xfId="0" applyNumberFormat="1" applyFont="1" applyFill="1" applyBorder="1" applyAlignment="1">
      <alignment vertical="center" shrinkToFit="1"/>
    </xf>
    <xf numFmtId="3" fontId="6" fillId="14" borderId="9" xfId="0" applyNumberFormat="1" applyFont="1" applyFill="1" applyBorder="1" applyAlignment="1">
      <alignment vertical="center" shrinkToFit="1"/>
    </xf>
    <xf numFmtId="168" fontId="6" fillId="23" borderId="9" xfId="0" applyNumberFormat="1" applyFont="1" applyFill="1" applyBorder="1" applyAlignment="1">
      <alignment vertical="center" shrinkToFit="1"/>
    </xf>
    <xf numFmtId="3" fontId="6" fillId="23" borderId="9" xfId="0" applyNumberFormat="1" applyFont="1" applyFill="1" applyBorder="1" applyAlignment="1">
      <alignment vertical="center" shrinkToFit="1"/>
    </xf>
    <xf numFmtId="168" fontId="6" fillId="24" borderId="9" xfId="0" applyNumberFormat="1" applyFont="1" applyFill="1" applyBorder="1" applyAlignment="1">
      <alignment vertical="center" shrinkToFit="1"/>
    </xf>
    <xf numFmtId="3" fontId="6" fillId="24" borderId="9" xfId="0" applyNumberFormat="1" applyFont="1" applyFill="1" applyBorder="1" applyAlignment="1">
      <alignment vertical="center" shrinkToFit="1"/>
    </xf>
    <xf numFmtId="0" fontId="3" fillId="23" borderId="6" xfId="0" applyFont="1" applyFill="1" applyBorder="1" applyAlignment="1">
      <alignment horizontal="center" vertical="center" shrinkToFit="1"/>
    </xf>
    <xf numFmtId="0" fontId="3" fillId="24" borderId="1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right" vertical="center" shrinkToFit="1"/>
    </xf>
    <xf numFmtId="0" fontId="3" fillId="0" borderId="7" xfId="0" applyFont="1" applyBorder="1" applyAlignment="1">
      <alignment horizontal="right" vertical="center" shrinkToFit="1"/>
    </xf>
    <xf numFmtId="170" fontId="16" fillId="16" borderId="0" xfId="0" applyNumberFormat="1" applyFont="1" applyFill="1" applyAlignment="1">
      <alignment horizontal="right" vertical="center" shrinkToFit="1"/>
    </xf>
    <xf numFmtId="0" fontId="16" fillId="0" borderId="0" xfId="0" applyFont="1" applyFill="1" applyBorder="1" applyAlignment="1">
      <alignment vertical="center"/>
    </xf>
    <xf numFmtId="4" fontId="16" fillId="0" borderId="0" xfId="0" applyNumberFormat="1" applyFont="1" applyFill="1" applyBorder="1" applyAlignment="1">
      <alignment vertical="center"/>
    </xf>
    <xf numFmtId="4" fontId="16" fillId="0" borderId="0" xfId="0" applyNumberFormat="1" applyFont="1" applyFill="1" applyBorder="1" applyAlignment="1">
      <alignment horizontal="right" vertical="center" shrinkToFit="1"/>
    </xf>
    <xf numFmtId="3" fontId="3" fillId="0" borderId="12" xfId="0" applyNumberFormat="1" applyFont="1" applyFill="1" applyBorder="1" applyAlignment="1">
      <alignment horizontal="right" vertical="center" shrinkToFit="1"/>
    </xf>
    <xf numFmtId="3" fontId="3" fillId="0" borderId="14" xfId="0" applyNumberFormat="1" applyFont="1" applyFill="1" applyBorder="1" applyAlignment="1">
      <alignment horizontal="right" vertical="center" shrinkToFit="1"/>
    </xf>
    <xf numFmtId="4" fontId="16" fillId="17" borderId="0" xfId="0" applyNumberFormat="1" applyFont="1" applyFill="1" applyBorder="1" applyAlignment="1">
      <alignment horizontal="right" vertical="center" shrinkToFit="1"/>
    </xf>
    <xf numFmtId="168" fontId="6" fillId="16" borderId="0" xfId="0" applyNumberFormat="1" applyFont="1" applyFill="1" applyAlignment="1">
      <alignment horizontal="right" vertical="center"/>
    </xf>
    <xf numFmtId="3" fontId="3" fillId="13" borderId="9" xfId="0" applyNumberFormat="1" applyFont="1" applyFill="1" applyBorder="1" applyAlignment="1">
      <alignment horizontal="right" vertical="center" shrinkToFit="1"/>
    </xf>
    <xf numFmtId="3" fontId="3" fillId="22" borderId="9" xfId="0" applyNumberFormat="1" applyFont="1" applyFill="1" applyBorder="1" applyAlignment="1">
      <alignment vertical="center" shrinkToFit="1"/>
    </xf>
    <xf numFmtId="168" fontId="3" fillId="14" borderId="9" xfId="0" applyNumberFormat="1" applyFont="1" applyFill="1" applyBorder="1" applyAlignment="1">
      <alignment vertical="center" shrinkToFit="1"/>
    </xf>
    <xf numFmtId="3" fontId="3" fillId="14" borderId="9" xfId="0" applyNumberFormat="1" applyFont="1" applyFill="1" applyBorder="1" applyAlignment="1">
      <alignment vertical="center" shrinkToFit="1"/>
    </xf>
    <xf numFmtId="173" fontId="3" fillId="14" borderId="9" xfId="0" applyNumberFormat="1" applyFont="1" applyFill="1" applyBorder="1" applyAlignment="1">
      <alignment vertical="center" shrinkToFit="1"/>
    </xf>
    <xf numFmtId="168" fontId="3" fillId="23" borderId="9" xfId="0" applyNumberFormat="1" applyFont="1" applyFill="1" applyBorder="1" applyAlignment="1">
      <alignment vertical="center" shrinkToFit="1"/>
    </xf>
    <xf numFmtId="3" fontId="3" fillId="23" borderId="9" xfId="0" applyNumberFormat="1" applyFont="1" applyFill="1" applyBorder="1" applyAlignment="1">
      <alignment vertical="center" shrinkToFit="1"/>
    </xf>
    <xf numFmtId="173" fontId="3" fillId="23" borderId="9" xfId="0" applyNumberFormat="1" applyFont="1" applyFill="1" applyBorder="1" applyAlignment="1">
      <alignment vertical="center" shrinkToFit="1"/>
    </xf>
    <xf numFmtId="168" fontId="3" fillId="24" borderId="9" xfId="0" applyNumberFormat="1" applyFont="1" applyFill="1" applyBorder="1" applyAlignment="1">
      <alignment vertical="center" shrinkToFit="1"/>
    </xf>
    <xf numFmtId="3" fontId="3" fillId="24" borderId="9" xfId="0" applyNumberFormat="1" applyFont="1" applyFill="1" applyBorder="1" applyAlignment="1">
      <alignment vertical="center" shrinkToFit="1"/>
    </xf>
    <xf numFmtId="173" fontId="3" fillId="24" borderId="9" xfId="0" applyNumberFormat="1" applyFont="1" applyFill="1" applyBorder="1" applyAlignment="1">
      <alignment vertical="center" shrinkToFit="1"/>
    </xf>
    <xf numFmtId="168" fontId="3" fillId="14" borderId="6" xfId="0" applyNumberFormat="1" applyFont="1" applyFill="1" applyBorder="1" applyAlignment="1">
      <alignment horizontal="right" vertical="center" shrinkToFit="1"/>
    </xf>
    <xf numFmtId="168" fontId="3" fillId="23" borderId="6" xfId="0" applyNumberFormat="1" applyFont="1" applyFill="1" applyBorder="1" applyAlignment="1">
      <alignment horizontal="right" vertical="center" shrinkToFit="1"/>
    </xf>
    <xf numFmtId="3" fontId="3" fillId="0" borderId="15" xfId="0" applyNumberFormat="1" applyFont="1" applyFill="1" applyBorder="1" applyAlignment="1">
      <alignment horizontal="right" vertical="center" shrinkToFit="1"/>
    </xf>
    <xf numFmtId="1" fontId="21" fillId="16" borderId="0" xfId="0" applyNumberFormat="1" applyFont="1" applyFill="1" applyAlignment="1">
      <alignment horizontal="right" vertical="center" shrinkToFit="1"/>
    </xf>
    <xf numFmtId="0" fontId="3" fillId="0" borderId="3" xfId="0" applyFont="1" applyBorder="1" applyAlignment="1">
      <alignment vertical="center" shrinkToFit="1"/>
    </xf>
    <xf numFmtId="0" fontId="20" fillId="11" borderId="0" xfId="0" applyFont="1" applyFill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right" vertical="center"/>
    </xf>
    <xf numFmtId="168" fontId="3" fillId="14" borderId="15" xfId="0" applyNumberFormat="1" applyFont="1" applyFill="1" applyBorder="1" applyAlignment="1">
      <alignment horizontal="right" vertical="center"/>
    </xf>
    <xf numFmtId="168" fontId="3" fillId="23" borderId="15" xfId="0" applyNumberFormat="1" applyFont="1" applyFill="1" applyBorder="1" applyAlignment="1">
      <alignment horizontal="right" vertical="center"/>
    </xf>
    <xf numFmtId="168" fontId="3" fillId="24" borderId="15" xfId="0" applyNumberFormat="1" applyFont="1" applyFill="1" applyBorder="1" applyAlignment="1">
      <alignment horizontal="right" vertical="center"/>
    </xf>
    <xf numFmtId="168" fontId="3" fillId="14" borderId="12" xfId="0" applyNumberFormat="1" applyFont="1" applyFill="1" applyBorder="1" applyAlignment="1">
      <alignment horizontal="right" vertical="center"/>
    </xf>
    <xf numFmtId="168" fontId="3" fillId="23" borderId="12" xfId="0" applyNumberFormat="1" applyFont="1" applyFill="1" applyBorder="1" applyAlignment="1">
      <alignment horizontal="right" vertical="center"/>
    </xf>
    <xf numFmtId="168" fontId="3" fillId="24" borderId="12" xfId="0" applyNumberFormat="1" applyFont="1" applyFill="1" applyBorder="1" applyAlignment="1">
      <alignment horizontal="right" vertical="center"/>
    </xf>
    <xf numFmtId="168" fontId="3" fillId="14" borderId="14" xfId="0" applyNumberFormat="1" applyFont="1" applyFill="1" applyBorder="1" applyAlignment="1">
      <alignment horizontal="right" vertical="center"/>
    </xf>
    <xf numFmtId="168" fontId="3" fillId="23" borderId="14" xfId="0" applyNumberFormat="1" applyFont="1" applyFill="1" applyBorder="1" applyAlignment="1">
      <alignment horizontal="right" vertical="center"/>
    </xf>
    <xf numFmtId="168" fontId="3" fillId="24" borderId="14" xfId="0" applyNumberFormat="1" applyFont="1" applyFill="1" applyBorder="1" applyAlignment="1">
      <alignment horizontal="right" vertical="center"/>
    </xf>
    <xf numFmtId="168" fontId="3" fillId="0" borderId="2" xfId="0" applyNumberFormat="1" applyFont="1" applyFill="1" applyBorder="1" applyAlignment="1">
      <alignment horizontal="right" vertical="center"/>
    </xf>
    <xf numFmtId="168" fontId="3" fillId="0" borderId="3" xfId="0" applyNumberFormat="1" applyFont="1" applyFill="1" applyBorder="1" applyAlignment="1">
      <alignment horizontal="right" vertical="center"/>
    </xf>
    <xf numFmtId="168" fontId="3" fillId="0" borderId="5" xfId="0" applyNumberFormat="1" applyFont="1" applyFill="1" applyBorder="1" applyAlignment="1">
      <alignment horizontal="right" vertical="center"/>
    </xf>
    <xf numFmtId="168" fontId="3" fillId="0" borderId="9" xfId="0" applyNumberFormat="1" applyFont="1" applyFill="1" applyBorder="1" applyAlignment="1">
      <alignment horizontal="right" vertical="center"/>
    </xf>
    <xf numFmtId="168" fontId="3" fillId="0" borderId="8" xfId="0" applyNumberFormat="1" applyFont="1" applyFill="1" applyBorder="1" applyAlignment="1">
      <alignment horizontal="right" vertical="center"/>
    </xf>
    <xf numFmtId="168" fontId="3" fillId="0" borderId="0" xfId="0" applyNumberFormat="1" applyFont="1" applyAlignment="1">
      <alignment vertical="center"/>
    </xf>
    <xf numFmtId="0" fontId="6" fillId="16" borderId="0" xfId="0" applyFont="1" applyFill="1" applyAlignment="1">
      <alignment vertical="center"/>
    </xf>
    <xf numFmtId="0" fontId="22" fillId="16" borderId="0" xfId="0" applyFont="1" applyFill="1" applyAlignment="1">
      <alignment vertical="center"/>
    </xf>
    <xf numFmtId="0" fontId="21" fillId="16" borderId="0" xfId="0" applyFont="1" applyFill="1" applyAlignment="1">
      <alignment horizontal="right" vertical="center"/>
    </xf>
    <xf numFmtId="3" fontId="3" fillId="21" borderId="0" xfId="0" applyNumberFormat="1" applyFont="1" applyFill="1" applyBorder="1" applyAlignment="1">
      <alignment horizontal="right" vertical="center"/>
    </xf>
    <xf numFmtId="4" fontId="21" fillId="17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horizontal="right" vertical="center"/>
    </xf>
    <xf numFmtId="4" fontId="21" fillId="0" borderId="0" xfId="0" applyNumberFormat="1" applyFont="1" applyFill="1" applyAlignment="1">
      <alignment horizontal="right" vertical="center"/>
    </xf>
    <xf numFmtId="175" fontId="3" fillId="0" borderId="0" xfId="0" applyNumberFormat="1" applyFont="1" applyAlignment="1">
      <alignment vertical="center"/>
    </xf>
    <xf numFmtId="170" fontId="3" fillId="0" borderId="0" xfId="0" applyNumberFormat="1" applyFont="1" applyAlignment="1">
      <alignment vertical="center"/>
    </xf>
    <xf numFmtId="0" fontId="21" fillId="16" borderId="0" xfId="0" applyFont="1" applyFill="1" applyAlignment="1">
      <alignment vertical="center"/>
    </xf>
    <xf numFmtId="170" fontId="3" fillId="21" borderId="0" xfId="0" applyNumberFormat="1" applyFont="1" applyFill="1" applyBorder="1" applyAlignment="1">
      <alignment horizontal="right" vertical="center"/>
    </xf>
    <xf numFmtId="3" fontId="16" fillId="16" borderId="0" xfId="0" applyNumberFormat="1" applyFont="1" applyFill="1" applyAlignment="1">
      <alignment vertical="center"/>
    </xf>
    <xf numFmtId="3" fontId="3" fillId="0" borderId="0" xfId="0" applyNumberFormat="1" applyFont="1" applyAlignment="1">
      <alignment vertical="center"/>
    </xf>
    <xf numFmtId="168" fontId="3" fillId="0" borderId="1" xfId="0" applyNumberFormat="1" applyFont="1" applyFill="1" applyBorder="1" applyAlignment="1">
      <alignment horizontal="right" vertical="center"/>
    </xf>
    <xf numFmtId="168" fontId="3" fillId="0" borderId="7" xfId="0" applyNumberFormat="1" applyFont="1" applyFill="1" applyBorder="1" applyAlignment="1">
      <alignment horizontal="right" vertical="center"/>
    </xf>
    <xf numFmtId="0" fontId="5" fillId="16" borderId="0" xfId="0" applyFont="1" applyFill="1" applyAlignment="1">
      <alignment horizontal="center"/>
    </xf>
    <xf numFmtId="175" fontId="16" fillId="16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12" fillId="2" borderId="0" xfId="0" applyFont="1" applyFill="1" applyAlignment="1">
      <alignment horizontal="center"/>
    </xf>
    <xf numFmtId="3" fontId="4" fillId="0" borderId="0" xfId="0" applyNumberFormat="1" applyFont="1" applyFill="1" applyBorder="1"/>
    <xf numFmtId="171" fontId="4" fillId="6" borderId="0" xfId="1" applyNumberFormat="1" applyFont="1" applyFill="1" applyAlignment="1">
      <alignment horizontal="center"/>
    </xf>
    <xf numFmtId="168" fontId="3" fillId="0" borderId="6" xfId="0" applyNumberFormat="1" applyFont="1" applyBorder="1" applyAlignment="1">
      <alignment horizontal="right"/>
    </xf>
    <xf numFmtId="4" fontId="4" fillId="0" borderId="0" xfId="0" applyNumberFormat="1" applyFont="1"/>
    <xf numFmtId="168" fontId="3" fillId="0" borderId="0" xfId="0" applyNumberFormat="1" applyFont="1" applyBorder="1"/>
    <xf numFmtId="168" fontId="12" fillId="0" borderId="0" xfId="0" applyNumberFormat="1" applyFont="1" applyBorder="1"/>
    <xf numFmtId="4" fontId="4" fillId="0" borderId="0" xfId="0" applyNumberFormat="1" applyFont="1" applyBorder="1"/>
    <xf numFmtId="4" fontId="12" fillId="0" borderId="0" xfId="0" applyNumberFormat="1" applyFont="1" applyBorder="1" applyAlignment="1">
      <alignment shrinkToFit="1"/>
    </xf>
    <xf numFmtId="3" fontId="3" fillId="0" borderId="0" xfId="0" applyNumberFormat="1" applyFont="1" applyFill="1" applyBorder="1"/>
    <xf numFmtId="168" fontId="3" fillId="0" borderId="9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 shrinkToFit="1"/>
    </xf>
    <xf numFmtId="0" fontId="5" fillId="5" borderId="0" xfId="0" applyFont="1" applyFill="1" applyAlignment="1">
      <alignment horizontal="center"/>
    </xf>
    <xf numFmtId="4" fontId="12" fillId="0" borderId="0" xfId="0" applyNumberFormat="1" applyFont="1" applyBorder="1"/>
    <xf numFmtId="168" fontId="3" fillId="0" borderId="0" xfId="0" applyNumberFormat="1" applyFont="1" applyBorder="1" applyAlignment="1">
      <alignment shrinkToFit="1"/>
    </xf>
    <xf numFmtId="168" fontId="3" fillId="0" borderId="9" xfId="0" applyNumberFormat="1" applyFont="1" applyBorder="1" applyAlignment="1">
      <alignment shrinkToFit="1"/>
    </xf>
    <xf numFmtId="168" fontId="3" fillId="0" borderId="8" xfId="0" applyNumberFormat="1" applyFont="1" applyBorder="1" applyAlignment="1">
      <alignment shrinkToFit="1"/>
    </xf>
    <xf numFmtId="168" fontId="3" fillId="0" borderId="5" xfId="0" applyNumberFormat="1" applyFont="1" applyBorder="1"/>
    <xf numFmtId="0" fontId="3" fillId="6" borderId="5" xfId="0" applyFont="1" applyFill="1" applyBorder="1"/>
    <xf numFmtId="9" fontId="4" fillId="6" borderId="5" xfId="1" applyFont="1" applyFill="1" applyBorder="1"/>
    <xf numFmtId="0" fontId="3" fillId="7" borderId="8" xfId="0" applyFont="1" applyFill="1" applyBorder="1" applyAlignment="1">
      <alignment horizontal="center"/>
    </xf>
    <xf numFmtId="0" fontId="3" fillId="0" borderId="4" xfId="0" quotePrefix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4" fontId="13" fillId="5" borderId="9" xfId="0" applyNumberFormat="1" applyFont="1" applyFill="1" applyBorder="1" applyAlignment="1">
      <alignment vertical="center"/>
    </xf>
    <xf numFmtId="4" fontId="4" fillId="0" borderId="0" xfId="0" applyNumberFormat="1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3" fontId="6" fillId="0" borderId="9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165" fontId="3" fillId="0" borderId="0" xfId="0" quotePrefix="1" applyNumberFormat="1" applyFont="1" applyBorder="1" applyAlignment="1">
      <alignment horizontal="center" vertical="center"/>
    </xf>
    <xf numFmtId="2" fontId="3" fillId="6" borderId="0" xfId="0" applyNumberFormat="1" applyFont="1" applyFill="1" applyBorder="1" applyAlignment="1">
      <alignment vertical="center"/>
    </xf>
    <xf numFmtId="4" fontId="3" fillId="6" borderId="0" xfId="0" applyNumberFormat="1" applyFont="1" applyFill="1" applyBorder="1" applyAlignment="1">
      <alignment vertical="center"/>
    </xf>
    <xf numFmtId="171" fontId="3" fillId="6" borderId="0" xfId="1" applyNumberFormat="1" applyFont="1" applyFill="1" applyBorder="1" applyAlignment="1">
      <alignment horizontal="center" vertical="center"/>
    </xf>
    <xf numFmtId="170" fontId="3" fillId="6" borderId="9" xfId="0" applyNumberFormat="1" applyFont="1" applyFill="1" applyBorder="1" applyAlignment="1">
      <alignment vertical="center"/>
    </xf>
    <xf numFmtId="0" fontId="3" fillId="7" borderId="9" xfId="0" applyFont="1" applyFill="1" applyBorder="1" applyAlignment="1">
      <alignment horizontal="center" vertical="center"/>
    </xf>
    <xf numFmtId="170" fontId="6" fillId="0" borderId="0" xfId="0" applyNumberFormat="1" applyFont="1" applyBorder="1" applyAlignment="1">
      <alignment vertical="center"/>
    </xf>
    <xf numFmtId="170" fontId="6" fillId="6" borderId="0" xfId="0" applyNumberFormat="1" applyFont="1" applyFill="1" applyBorder="1" applyAlignment="1">
      <alignment vertical="center"/>
    </xf>
    <xf numFmtId="1" fontId="3" fillId="0" borderId="0" xfId="0" applyNumberFormat="1" applyFont="1" applyBorder="1" applyAlignment="1">
      <alignment vertical="center"/>
    </xf>
    <xf numFmtId="168" fontId="3" fillId="0" borderId="0" xfId="0" applyNumberFormat="1" applyFont="1" applyBorder="1" applyAlignment="1">
      <alignment vertical="center"/>
    </xf>
    <xf numFmtId="168" fontId="3" fillId="0" borderId="5" xfId="0" applyNumberFormat="1" applyFont="1" applyBorder="1" applyAlignment="1">
      <alignment vertical="center"/>
    </xf>
    <xf numFmtId="0" fontId="3" fillId="0" borderId="0" xfId="0" quotePrefix="1" applyFont="1" applyBorder="1" applyAlignment="1">
      <alignment horizontal="right" vertical="center"/>
    </xf>
    <xf numFmtId="170" fontId="3" fillId="6" borderId="0" xfId="0" applyNumberFormat="1" applyFont="1" applyFill="1" applyBorder="1" applyAlignment="1">
      <alignment vertical="center"/>
    </xf>
    <xf numFmtId="0" fontId="3" fillId="14" borderId="6" xfId="0" applyFont="1" applyFill="1" applyBorder="1" applyAlignment="1">
      <alignment horizontal="center" vertical="center" shrinkToFit="1"/>
    </xf>
    <xf numFmtId="170" fontId="6" fillId="25" borderId="0" xfId="0" applyNumberFormat="1" applyFont="1" applyFill="1" applyAlignment="1">
      <alignment horizontal="right" vertical="center" shrinkToFit="1"/>
    </xf>
    <xf numFmtId="0" fontId="3" fillId="0" borderId="15" xfId="0" applyFont="1" applyBorder="1" applyAlignment="1">
      <alignment horizontal="right" vertical="center"/>
    </xf>
    <xf numFmtId="0" fontId="3" fillId="16" borderId="0" xfId="0" applyFont="1" applyFill="1" applyBorder="1" applyAlignment="1">
      <alignment horizontal="right" vertical="center" shrinkToFit="1"/>
    </xf>
    <xf numFmtId="0" fontId="3" fillId="16" borderId="0" xfId="0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right" vertical="center"/>
    </xf>
    <xf numFmtId="1" fontId="3" fillId="0" borderId="4" xfId="0" applyNumberFormat="1" applyFont="1" applyBorder="1" applyAlignment="1">
      <alignment horizontal="right" vertical="center"/>
    </xf>
    <xf numFmtId="1" fontId="3" fillId="0" borderId="7" xfId="0" applyNumberFormat="1" applyFont="1" applyBorder="1" applyAlignment="1">
      <alignment horizontal="right" vertical="center"/>
    </xf>
    <xf numFmtId="3" fontId="3" fillId="0" borderId="2" xfId="0" applyNumberFormat="1" applyFont="1" applyFill="1" applyBorder="1" applyAlignment="1">
      <alignment horizontal="right" vertical="center" shrinkToFit="1"/>
    </xf>
    <xf numFmtId="0" fontId="3" fillId="0" borderId="13" xfId="0" applyFont="1" applyBorder="1" applyAlignment="1">
      <alignment vertical="center"/>
    </xf>
    <xf numFmtId="170" fontId="16" fillId="16" borderId="0" xfId="0" applyNumberFormat="1" applyFont="1" applyFill="1" applyAlignment="1">
      <alignment horizontal="center" vertical="center"/>
    </xf>
    <xf numFmtId="174" fontId="3" fillId="14" borderId="9" xfId="0" applyNumberFormat="1" applyFont="1" applyFill="1" applyBorder="1" applyAlignment="1">
      <alignment vertical="center" shrinkToFit="1"/>
    </xf>
    <xf numFmtId="174" fontId="3" fillId="23" borderId="9" xfId="0" applyNumberFormat="1" applyFont="1" applyFill="1" applyBorder="1" applyAlignment="1">
      <alignment vertical="center" shrinkToFit="1"/>
    </xf>
    <xf numFmtId="174" fontId="3" fillId="24" borderId="9" xfId="0" applyNumberFormat="1" applyFont="1" applyFill="1" applyBorder="1" applyAlignment="1">
      <alignment vertical="center" shrinkToFit="1"/>
    </xf>
    <xf numFmtId="0" fontId="6" fillId="16" borderId="0" xfId="0" applyFont="1" applyFill="1" applyBorder="1" applyAlignment="1">
      <alignment horizontal="right" vertical="center" shrinkToFit="1"/>
    </xf>
    <xf numFmtId="0" fontId="3" fillId="23" borderId="13" xfId="0" applyFont="1" applyFill="1" applyBorder="1" applyAlignment="1">
      <alignment horizontal="right" vertical="center" shrinkToFit="1"/>
    </xf>
    <xf numFmtId="0" fontId="3" fillId="14" borderId="13" xfId="0" applyFont="1" applyFill="1" applyBorder="1" applyAlignment="1">
      <alignment horizontal="right" vertical="center" shrinkToFit="1"/>
    </xf>
    <xf numFmtId="0" fontId="3" fillId="24" borderId="13" xfId="0" applyFont="1" applyFill="1" applyBorder="1" applyAlignment="1">
      <alignment horizontal="right" vertical="center" shrinkToFit="1"/>
    </xf>
    <xf numFmtId="0" fontId="20" fillId="11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167" fontId="4" fillId="0" borderId="0" xfId="1" applyNumberFormat="1" applyFont="1"/>
    <xf numFmtId="4" fontId="3" fillId="0" borderId="2" xfId="0" applyNumberFormat="1" applyFont="1" applyBorder="1" applyAlignment="1">
      <alignment shrinkToFit="1"/>
    </xf>
    <xf numFmtId="2" fontId="3" fillId="0" borderId="0" xfId="0" applyNumberFormat="1" applyFont="1" applyFill="1" applyBorder="1"/>
    <xf numFmtId="2" fontId="12" fillId="0" borderId="0" xfId="0" applyNumberFormat="1" applyFont="1" applyFill="1"/>
    <xf numFmtId="2" fontId="3" fillId="0" borderId="9" xfId="0" applyNumberFormat="1" applyFont="1" applyFill="1" applyBorder="1"/>
    <xf numFmtId="0" fontId="3" fillId="0" borderId="9" xfId="0" applyFont="1" applyFill="1" applyBorder="1"/>
    <xf numFmtId="168" fontId="3" fillId="0" borderId="9" xfId="0" applyNumberFormat="1" applyFont="1" applyBorder="1"/>
    <xf numFmtId="4" fontId="3" fillId="0" borderId="5" xfId="0" applyNumberFormat="1" applyFont="1" applyFill="1" applyBorder="1" applyAlignment="1">
      <alignment shrinkToFit="1"/>
    </xf>
    <xf numFmtId="4" fontId="3" fillId="0" borderId="0" xfId="0" applyNumberFormat="1" applyFont="1" applyFill="1" applyBorder="1" applyAlignment="1"/>
    <xf numFmtId="4" fontId="3" fillId="0" borderId="5" xfId="0" applyNumberFormat="1" applyFont="1" applyFill="1" applyBorder="1" applyAlignment="1"/>
    <xf numFmtId="4" fontId="3" fillId="6" borderId="5" xfId="0" applyNumberFormat="1" applyFont="1" applyFill="1" applyBorder="1" applyAlignment="1"/>
    <xf numFmtId="4" fontId="3" fillId="0" borderId="9" xfId="0" applyNumberFormat="1" applyFont="1" applyBorder="1"/>
    <xf numFmtId="167" fontId="3" fillId="0" borderId="9" xfId="0" applyNumberFormat="1" applyFont="1" applyBorder="1" applyAlignment="1">
      <alignment horizontal="right"/>
    </xf>
    <xf numFmtId="4" fontId="3" fillId="0" borderId="9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3" fillId="0" borderId="8" xfId="0" applyNumberFormat="1" applyFont="1" applyBorder="1"/>
    <xf numFmtId="0" fontId="4" fillId="2" borderId="0" xfId="0" applyFont="1" applyFill="1"/>
    <xf numFmtId="2" fontId="4" fillId="2" borderId="0" xfId="0" applyNumberFormat="1" applyFont="1" applyFill="1"/>
    <xf numFmtId="4" fontId="4" fillId="0" borderId="0" xfId="0" applyNumberFormat="1" applyFont="1" applyAlignment="1">
      <alignment shrinkToFit="1"/>
    </xf>
    <xf numFmtId="4" fontId="4" fillId="2" borderId="0" xfId="0" applyNumberFormat="1" applyFont="1" applyFill="1" applyAlignment="1">
      <alignment shrinkToFit="1"/>
    </xf>
    <xf numFmtId="167" fontId="4" fillId="2" borderId="0" xfId="1" applyNumberFormat="1" applyFont="1" applyFill="1"/>
    <xf numFmtId="0" fontId="3" fillId="26" borderId="2" xfId="0" applyFont="1" applyFill="1" applyBorder="1"/>
    <xf numFmtId="0" fontId="3" fillId="26" borderId="2" xfId="0" applyFont="1" applyFill="1" applyBorder="1" applyAlignment="1">
      <alignment horizontal="right"/>
    </xf>
    <xf numFmtId="0" fontId="3" fillId="26" borderId="0" xfId="0" applyFont="1" applyFill="1" applyBorder="1"/>
    <xf numFmtId="0" fontId="3" fillId="26" borderId="9" xfId="0" applyFont="1" applyFill="1" applyBorder="1" applyAlignment="1">
      <alignment horizontal="right"/>
    </xf>
    <xf numFmtId="167" fontId="3" fillId="26" borderId="9" xfId="0" applyNumberFormat="1" applyFont="1" applyFill="1" applyBorder="1" applyAlignment="1">
      <alignment horizontal="right"/>
    </xf>
    <xf numFmtId="0" fontId="18" fillId="0" borderId="0" xfId="0" applyFont="1" applyBorder="1" applyAlignment="1">
      <alignment horizontal="right"/>
    </xf>
    <xf numFmtId="0" fontId="18" fillId="0" borderId="0" xfId="0" applyFont="1" applyBorder="1" applyAlignment="1">
      <alignment horizontal="right" shrinkToFit="1"/>
    </xf>
    <xf numFmtId="4" fontId="23" fillId="0" borderId="0" xfId="0" applyNumberFormat="1" applyFont="1" applyBorder="1" applyAlignment="1">
      <alignment shrinkToFit="1"/>
    </xf>
    <xf numFmtId="167" fontId="23" fillId="0" borderId="6" xfId="1" applyNumberFormat="1" applyFont="1" applyBorder="1"/>
    <xf numFmtId="2" fontId="24" fillId="0" borderId="0" xfId="0" applyNumberFormat="1" applyFont="1" applyFill="1" applyBorder="1"/>
    <xf numFmtId="2" fontId="24" fillId="0" borderId="9" xfId="0" applyNumberFormat="1" applyFont="1" applyFill="1" applyBorder="1"/>
    <xf numFmtId="2" fontId="25" fillId="0" borderId="0" xfId="0" applyNumberFormat="1" applyFont="1" applyFill="1" applyBorder="1"/>
    <xf numFmtId="1" fontId="25" fillId="0" borderId="0" xfId="0" applyNumberFormat="1" applyFont="1" applyFill="1" applyBorder="1"/>
    <xf numFmtId="167" fontId="24" fillId="0" borderId="9" xfId="1" applyNumberFormat="1" applyFont="1" applyBorder="1"/>
    <xf numFmtId="4" fontId="3" fillId="26" borderId="0" xfId="0" applyNumberFormat="1" applyFont="1" applyFill="1" applyBorder="1" applyAlignment="1">
      <alignment shrinkToFit="1"/>
    </xf>
    <xf numFmtId="4" fontId="3" fillId="14" borderId="0" xfId="0" applyNumberFormat="1" applyFont="1" applyFill="1" applyBorder="1" applyAlignment="1">
      <alignment shrinkToFit="1"/>
    </xf>
    <xf numFmtId="4" fontId="3" fillId="14" borderId="9" xfId="0" applyNumberFormat="1" applyFont="1" applyFill="1" applyBorder="1" applyAlignment="1">
      <alignment shrinkToFit="1"/>
    </xf>
    <xf numFmtId="0" fontId="3" fillId="14" borderId="2" xfId="0" applyFont="1" applyFill="1" applyBorder="1"/>
    <xf numFmtId="0" fontId="3" fillId="14" borderId="3" xfId="0" applyFont="1" applyFill="1" applyBorder="1" applyAlignment="1">
      <alignment horizontal="right"/>
    </xf>
    <xf numFmtId="0" fontId="3" fillId="14" borderId="0" xfId="0" applyFont="1" applyFill="1" applyBorder="1" applyAlignment="1">
      <alignment horizontal="right"/>
    </xf>
    <xf numFmtId="0" fontId="3" fillId="14" borderId="0" xfId="0" applyFont="1" applyFill="1" applyBorder="1"/>
    <xf numFmtId="0" fontId="3" fillId="14" borderId="5" xfId="0" applyFont="1" applyFill="1" applyBorder="1"/>
    <xf numFmtId="0" fontId="3" fillId="14" borderId="9" xfId="0" applyFont="1" applyFill="1" applyBorder="1" applyAlignment="1">
      <alignment horizontal="right"/>
    </xf>
    <xf numFmtId="167" fontId="3" fillId="14" borderId="9" xfId="0" applyNumberFormat="1" applyFont="1" applyFill="1" applyBorder="1" applyAlignment="1">
      <alignment horizontal="right"/>
    </xf>
    <xf numFmtId="167" fontId="3" fillId="14" borderId="9" xfId="0" applyNumberFormat="1" applyFont="1" applyFill="1" applyBorder="1"/>
    <xf numFmtId="167" fontId="3" fillId="14" borderId="8" xfId="0" applyNumberFormat="1" applyFont="1" applyFill="1" applyBorder="1"/>
    <xf numFmtId="4" fontId="3" fillId="27" borderId="1" xfId="0" applyNumberFormat="1" applyFont="1" applyFill="1" applyBorder="1" applyAlignment="1"/>
    <xf numFmtId="4" fontId="3" fillId="27" borderId="2" xfId="0" applyNumberFormat="1" applyFont="1" applyFill="1" applyBorder="1" applyAlignment="1"/>
    <xf numFmtId="4" fontId="3" fillId="27" borderId="4" xfId="0" applyNumberFormat="1" applyFont="1" applyFill="1" applyBorder="1" applyAlignment="1"/>
    <xf numFmtId="4" fontId="3" fillId="27" borderId="0" xfId="0" applyNumberFormat="1" applyFont="1" applyFill="1" applyBorder="1" applyAlignment="1"/>
    <xf numFmtId="4" fontId="3" fillId="27" borderId="7" xfId="0" applyNumberFormat="1" applyFont="1" applyFill="1" applyBorder="1" applyAlignment="1"/>
    <xf numFmtId="4" fontId="3" fillId="27" borderId="9" xfId="0" applyNumberFormat="1" applyFont="1" applyFill="1" applyBorder="1" applyAlignment="1"/>
    <xf numFmtId="4" fontId="3" fillId="27" borderId="10" xfId="0" applyNumberFormat="1" applyFont="1" applyFill="1" applyBorder="1" applyAlignment="1"/>
    <xf numFmtId="4" fontId="3" fillId="27" borderId="6" xfId="0" applyNumberFormat="1" applyFont="1" applyFill="1" applyBorder="1" applyAlignment="1"/>
    <xf numFmtId="4" fontId="3" fillId="27" borderId="11" xfId="0" applyNumberFormat="1" applyFont="1" applyFill="1" applyBorder="1" applyAlignment="1">
      <alignment horizontal="right"/>
    </xf>
    <xf numFmtId="0" fontId="24" fillId="0" borderId="0" xfId="0" applyFont="1" applyBorder="1"/>
    <xf numFmtId="0" fontId="24" fillId="0" borderId="5" xfId="0" applyFont="1" applyBorder="1"/>
    <xf numFmtId="0" fontId="24" fillId="0" borderId="9" xfId="0" applyFont="1" applyBorder="1"/>
    <xf numFmtId="0" fontId="18" fillId="0" borderId="9" xfId="0" applyFont="1" applyBorder="1"/>
    <xf numFmtId="4" fontId="18" fillId="26" borderId="9" xfId="0" applyNumberFormat="1" applyFont="1" applyFill="1" applyBorder="1" applyAlignment="1">
      <alignment shrinkToFit="1"/>
    </xf>
    <xf numFmtId="4" fontId="18" fillId="0" borderId="5" xfId="0" applyNumberFormat="1" applyFont="1" applyBorder="1" applyAlignment="1">
      <alignment shrinkToFit="1"/>
    </xf>
    <xf numFmtId="0" fontId="18" fillId="0" borderId="8" xfId="0" applyFont="1" applyBorder="1"/>
    <xf numFmtId="0" fontId="3" fillId="14" borderId="4" xfId="0" applyFont="1" applyFill="1" applyBorder="1"/>
    <xf numFmtId="0" fontId="3" fillId="14" borderId="0" xfId="0" quotePrefix="1" applyFont="1" applyFill="1" applyBorder="1"/>
    <xf numFmtId="4" fontId="15" fillId="27" borderId="0" xfId="0" applyNumberFormat="1" applyFont="1" applyFill="1" applyBorder="1" applyAlignment="1"/>
    <xf numFmtId="167" fontId="3" fillId="26" borderId="4" xfId="0" applyNumberFormat="1" applyFont="1" applyFill="1" applyBorder="1"/>
    <xf numFmtId="167" fontId="3" fillId="26" borderId="0" xfId="0" applyNumberFormat="1" applyFont="1" applyFill="1" applyBorder="1"/>
    <xf numFmtId="167" fontId="3" fillId="14" borderId="0" xfId="0" applyNumberFormat="1" applyFont="1" applyFill="1" applyBorder="1"/>
    <xf numFmtId="0" fontId="3" fillId="28" borderId="4" xfId="0" applyFont="1" applyFill="1" applyBorder="1"/>
    <xf numFmtId="0" fontId="3" fillId="28" borderId="0" xfId="0" applyFont="1" applyFill="1" applyBorder="1"/>
    <xf numFmtId="4" fontId="3" fillId="28" borderId="4" xfId="0" applyNumberFormat="1" applyFont="1" applyFill="1" applyBorder="1" applyAlignment="1"/>
    <xf numFmtId="4" fontId="3" fillId="28" borderId="0" xfId="0" applyNumberFormat="1" applyFont="1" applyFill="1" applyBorder="1" applyAlignment="1"/>
    <xf numFmtId="0" fontId="3" fillId="0" borderId="0" xfId="0" applyFont="1" applyFill="1" applyBorder="1" applyAlignment="1">
      <alignment wrapText="1"/>
    </xf>
    <xf numFmtId="176" fontId="23" fillId="0" borderId="0" xfId="0" applyNumberFormat="1" applyFont="1" applyBorder="1"/>
    <xf numFmtId="176" fontId="3" fillId="0" borderId="0" xfId="0" applyNumberFormat="1" applyFont="1" applyBorder="1"/>
    <xf numFmtId="176" fontId="24" fillId="14" borderId="0" xfId="0" applyNumberFormat="1" applyFont="1" applyFill="1" applyBorder="1"/>
    <xf numFmtId="176" fontId="24" fillId="14" borderId="9" xfId="0" applyNumberFormat="1" applyFont="1" applyFill="1" applyBorder="1"/>
    <xf numFmtId="176" fontId="24" fillId="0" borderId="0" xfId="0" applyNumberFormat="1" applyFont="1" applyFill="1" applyBorder="1"/>
    <xf numFmtId="176" fontId="24" fillId="0" borderId="9" xfId="0" applyNumberFormat="1" applyFont="1" applyFill="1" applyBorder="1"/>
    <xf numFmtId="176" fontId="18" fillId="0" borderId="0" xfId="1" applyNumberFormat="1" applyFont="1" applyBorder="1" applyAlignment="1">
      <alignment shrinkToFit="1"/>
    </xf>
    <xf numFmtId="176" fontId="18" fillId="0" borderId="0" xfId="0" applyNumberFormat="1" applyFont="1" applyBorder="1"/>
    <xf numFmtId="176" fontId="3" fillId="0" borderId="0" xfId="1" applyNumberFormat="1" applyFont="1" applyBorder="1"/>
    <xf numFmtId="176" fontId="3" fillId="0" borderId="9" xfId="1" applyNumberFormat="1" applyFont="1" applyBorder="1"/>
    <xf numFmtId="176" fontId="3" fillId="0" borderId="9" xfId="0" applyNumberFormat="1" applyFont="1" applyBorder="1"/>
    <xf numFmtId="4" fontId="3" fillId="0" borderId="0" xfId="0" applyNumberFormat="1" applyFont="1" applyFill="1" applyBorder="1"/>
    <xf numFmtId="4" fontId="18" fillId="29" borderId="10" xfId="0" applyNumberFormat="1" applyFont="1" applyFill="1" applyBorder="1" applyAlignment="1"/>
    <xf numFmtId="4" fontId="18" fillId="29" borderId="6" xfId="0" applyNumberFormat="1" applyFont="1" applyFill="1" applyBorder="1" applyAlignment="1"/>
    <xf numFmtId="4" fontId="18" fillId="29" borderId="11" xfId="0" applyNumberFormat="1" applyFont="1" applyFill="1" applyBorder="1" applyAlignment="1">
      <alignment horizontal="right"/>
    </xf>
    <xf numFmtId="0" fontId="18" fillId="0" borderId="4" xfId="0" applyFont="1" applyFill="1" applyBorder="1"/>
    <xf numFmtId="0" fontId="18" fillId="0" borderId="0" xfId="0" applyFont="1" applyFill="1" applyBorder="1"/>
    <xf numFmtId="0" fontId="18" fillId="0" borderId="5" xfId="0" applyFont="1" applyFill="1" applyBorder="1"/>
    <xf numFmtId="4" fontId="18" fillId="0" borderId="4" xfId="0" applyNumberFormat="1" applyFont="1" applyFill="1" applyBorder="1" applyAlignment="1"/>
    <xf numFmtId="4" fontId="18" fillId="0" borderId="0" xfId="0" applyNumberFormat="1" applyFont="1" applyFill="1" applyBorder="1" applyAlignment="1"/>
    <xf numFmtId="4" fontId="18" fillId="0" borderId="0" xfId="0" applyNumberFormat="1" applyFont="1" applyFill="1" applyBorder="1"/>
    <xf numFmtId="0" fontId="18" fillId="0" borderId="0" xfId="0" applyFont="1" applyFill="1"/>
    <xf numFmtId="4" fontId="18" fillId="0" borderId="7" xfId="0" applyNumberFormat="1" applyFont="1" applyFill="1" applyBorder="1" applyAlignment="1"/>
    <xf numFmtId="4" fontId="18" fillId="0" borderId="9" xfId="0" applyNumberFormat="1" applyFont="1" applyFill="1" applyBorder="1" applyAlignment="1"/>
    <xf numFmtId="0" fontId="18" fillId="0" borderId="9" xfId="0" applyFont="1" applyFill="1" applyBorder="1"/>
    <xf numFmtId="167" fontId="18" fillId="0" borderId="9" xfId="1" applyNumberFormat="1" applyFont="1" applyFill="1" applyBorder="1"/>
    <xf numFmtId="0" fontId="18" fillId="0" borderId="8" xfId="0" applyFont="1" applyFill="1" applyBorder="1"/>
    <xf numFmtId="0" fontId="18" fillId="0" borderId="0" xfId="0" applyFont="1" applyFill="1" applyBorder="1" applyAlignment="1">
      <alignment horizontal="right"/>
    </xf>
    <xf numFmtId="2" fontId="18" fillId="0" borderId="5" xfId="0" applyNumberFormat="1" applyFont="1" applyFill="1" applyBorder="1"/>
    <xf numFmtId="4" fontId="18" fillId="0" borderId="5" xfId="0" applyNumberFormat="1" applyFont="1" applyFill="1" applyBorder="1"/>
    <xf numFmtId="0" fontId="18" fillId="0" borderId="9" xfId="0" applyFont="1" applyFill="1" applyBorder="1" applyAlignment="1"/>
    <xf numFmtId="0" fontId="18" fillId="0" borderId="9" xfId="0" applyFont="1" applyFill="1" applyBorder="1" applyAlignment="1">
      <alignment horizontal="right"/>
    </xf>
    <xf numFmtId="4" fontId="25" fillId="0" borderId="0" xfId="0" applyNumberFormat="1" applyFont="1" applyFill="1" applyBorder="1"/>
    <xf numFmtId="167" fontId="18" fillId="26" borderId="4" xfId="0" applyNumberFormat="1" applyFont="1" applyFill="1" applyBorder="1"/>
    <xf numFmtId="167" fontId="18" fillId="26" borderId="0" xfId="0" applyNumberFormat="1" applyFont="1" applyFill="1" applyBorder="1"/>
    <xf numFmtId="0" fontId="18" fillId="0" borderId="0" xfId="0" applyFont="1" applyFill="1" applyBorder="1" applyAlignment="1">
      <alignment horizontal="center" vertical="center"/>
    </xf>
    <xf numFmtId="4" fontId="18" fillId="29" borderId="11" xfId="0" applyNumberFormat="1" applyFont="1" applyFill="1" applyBorder="1" applyAlignment="1"/>
    <xf numFmtId="176" fontId="26" fillId="30" borderId="0" xfId="1" applyNumberFormat="1" applyFont="1" applyFill="1" applyBorder="1"/>
    <xf numFmtId="4" fontId="18" fillId="29" borderId="4" xfId="0" applyNumberFormat="1" applyFont="1" applyFill="1" applyBorder="1" applyAlignment="1"/>
    <xf numFmtId="4" fontId="18" fillId="29" borderId="0" xfId="0" applyNumberFormat="1" applyFont="1" applyFill="1" applyBorder="1" applyAlignment="1"/>
    <xf numFmtId="2" fontId="27" fillId="0" borderId="0" xfId="0" applyNumberFormat="1" applyFont="1" applyFill="1" applyBorder="1"/>
    <xf numFmtId="4" fontId="26" fillId="30" borderId="0" xfId="0" applyNumberFormat="1" applyFont="1" applyFill="1" applyBorder="1" applyAlignment="1">
      <alignment shrinkToFit="1"/>
    </xf>
    <xf numFmtId="0" fontId="18" fillId="0" borderId="0" xfId="0" applyFont="1" applyBorder="1" applyAlignment="1"/>
    <xf numFmtId="0" fontId="18" fillId="0" borderId="0" xfId="0" applyFont="1" applyFill="1" applyBorder="1" applyAlignment="1"/>
    <xf numFmtId="4" fontId="18" fillId="29" borderId="1" xfId="0" applyNumberFormat="1" applyFont="1" applyFill="1" applyBorder="1" applyAlignment="1"/>
    <xf numFmtId="4" fontId="18" fillId="29" borderId="2" xfId="0" applyNumberFormat="1" applyFont="1" applyFill="1" applyBorder="1" applyAlignment="1"/>
    <xf numFmtId="176" fontId="18" fillId="0" borderId="8" xfId="1" applyNumberFormat="1" applyFont="1" applyFill="1" applyBorder="1"/>
    <xf numFmtId="0" fontId="18" fillId="0" borderId="10" xfId="0" applyFont="1" applyFill="1" applyBorder="1"/>
    <xf numFmtId="0" fontId="18" fillId="0" borderId="6" xfId="0" applyFont="1" applyFill="1" applyBorder="1"/>
    <xf numFmtId="0" fontId="18" fillId="0" borderId="11" xfId="0" applyFont="1" applyFill="1" applyBorder="1" applyAlignment="1">
      <alignment horizontal="right" vertical="center"/>
    </xf>
    <xf numFmtId="0" fontId="18" fillId="0" borderId="2" xfId="0" applyFont="1" applyBorder="1"/>
    <xf numFmtId="0" fontId="18" fillId="0" borderId="2" xfId="0" applyFont="1" applyFill="1" applyBorder="1" applyAlignment="1">
      <alignment horizontal="right"/>
    </xf>
    <xf numFmtId="167" fontId="18" fillId="29" borderId="7" xfId="0" applyNumberFormat="1" applyFont="1" applyFill="1" applyBorder="1"/>
    <xf numFmtId="167" fontId="18" fillId="29" borderId="9" xfId="0" applyNumberFormat="1" applyFont="1" applyFill="1" applyBorder="1"/>
    <xf numFmtId="4" fontId="18" fillId="29" borderId="3" xfId="0" applyNumberFormat="1" applyFont="1" applyFill="1" applyBorder="1"/>
    <xf numFmtId="2" fontId="18" fillId="29" borderId="8" xfId="0" applyNumberFormat="1" applyFont="1" applyFill="1" applyBorder="1"/>
    <xf numFmtId="3" fontId="18" fillId="0" borderId="0" xfId="0" applyNumberFormat="1" applyFont="1" applyFill="1" applyBorder="1" applyAlignment="1">
      <alignment vertical="center"/>
    </xf>
    <xf numFmtId="4" fontId="4" fillId="0" borderId="0" xfId="0" applyNumberFormat="1" applyFont="1" applyFill="1" applyBorder="1" applyAlignment="1">
      <alignment vertical="center"/>
    </xf>
    <xf numFmtId="4" fontId="4" fillId="0" borderId="7" xfId="0" applyNumberFormat="1" applyFont="1" applyFill="1" applyBorder="1" applyAlignment="1">
      <alignment vertical="center"/>
    </xf>
    <xf numFmtId="4" fontId="4" fillId="0" borderId="9" xfId="0" applyNumberFormat="1" applyFont="1" applyFill="1" applyBorder="1" applyAlignment="1">
      <alignment vertical="center"/>
    </xf>
    <xf numFmtId="4" fontId="4" fillId="0" borderId="9" xfId="0" applyNumberFormat="1" applyFont="1" applyBorder="1" applyAlignment="1">
      <alignment vertical="center"/>
    </xf>
    <xf numFmtId="3" fontId="4" fillId="0" borderId="7" xfId="0" applyNumberFormat="1" applyFont="1" applyFill="1" applyBorder="1" applyAlignment="1">
      <alignment vertical="center"/>
    </xf>
    <xf numFmtId="3" fontId="4" fillId="0" borderId="9" xfId="0" applyNumberFormat="1" applyFont="1" applyFill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17" borderId="9" xfId="0" applyFont="1" applyFill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15" borderId="0" xfId="0" applyFont="1" applyFill="1" applyBorder="1" applyAlignment="1">
      <alignment horizontal="right" vertical="center" shrinkToFit="1"/>
    </xf>
    <xf numFmtId="0" fontId="0" fillId="15" borderId="0" xfId="0" applyFill="1" applyBorder="1" applyAlignment="1">
      <alignment horizontal="right" vertical="center" shrinkToFit="1"/>
    </xf>
    <xf numFmtId="0" fontId="3" fillId="15" borderId="9" xfId="0" applyFont="1" applyFill="1" applyBorder="1" applyAlignment="1">
      <alignment horizontal="right" vertical="center" shrinkToFit="1"/>
    </xf>
    <xf numFmtId="0" fontId="0" fillId="15" borderId="9" xfId="0" applyFill="1" applyBorder="1" applyAlignment="1">
      <alignment horizontal="right" vertical="center" shrinkToFit="1"/>
    </xf>
    <xf numFmtId="0" fontId="3" fillId="0" borderId="10" xfId="0" applyFont="1" applyBorder="1" applyAlignment="1">
      <alignment horizontal="left" vertical="center" shrinkToFit="1"/>
    </xf>
    <xf numFmtId="0" fontId="3" fillId="0" borderId="6" xfId="0" applyFont="1" applyBorder="1" applyAlignment="1">
      <alignment horizontal="left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13" borderId="10" xfId="0" applyFont="1" applyFill="1" applyBorder="1" applyAlignment="1">
      <alignment horizontal="center" vertical="center" shrinkToFit="1"/>
    </xf>
    <xf numFmtId="0" fontId="3" fillId="13" borderId="11" xfId="0" applyFont="1" applyFill="1" applyBorder="1" applyAlignment="1">
      <alignment horizontal="center" vertical="center" shrinkToFit="1"/>
    </xf>
    <xf numFmtId="0" fontId="3" fillId="12" borderId="10" xfId="0" applyFont="1" applyFill="1" applyBorder="1" applyAlignment="1">
      <alignment horizontal="center" vertical="center" shrinkToFit="1"/>
    </xf>
    <xf numFmtId="0" fontId="3" fillId="12" borderId="6" xfId="0" applyFont="1" applyFill="1" applyBorder="1" applyAlignment="1">
      <alignment horizontal="center" vertical="center" shrinkToFit="1"/>
    </xf>
    <xf numFmtId="0" fontId="3" fillId="12" borderId="11" xfId="0" applyFont="1" applyFill="1" applyBorder="1" applyAlignment="1">
      <alignment horizontal="center" vertical="center" shrinkToFit="1"/>
    </xf>
    <xf numFmtId="0" fontId="3" fillId="14" borderId="10" xfId="0" applyFont="1" applyFill="1" applyBorder="1" applyAlignment="1">
      <alignment horizontal="center" vertical="center" shrinkToFit="1"/>
    </xf>
    <xf numFmtId="0" fontId="3" fillId="14" borderId="6" xfId="0" applyFont="1" applyFill="1" applyBorder="1" applyAlignment="1">
      <alignment horizontal="center" vertical="center" shrinkToFit="1"/>
    </xf>
    <xf numFmtId="0" fontId="3" fillId="14" borderId="11" xfId="0" applyFont="1" applyFill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12" borderId="6" xfId="0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shrinkToFit="1"/>
    </xf>
    <xf numFmtId="0" fontId="7" fillId="0" borderId="9" xfId="0" applyFont="1" applyBorder="1" applyAlignment="1">
      <alignment horizontal="left" vertical="center" shrinkToFit="1"/>
    </xf>
    <xf numFmtId="0" fontId="7" fillId="0" borderId="8" xfId="0" applyFont="1" applyBorder="1" applyAlignment="1">
      <alignment horizontal="left" vertical="center" shrinkToFit="1"/>
    </xf>
    <xf numFmtId="0" fontId="0" fillId="12" borderId="6" xfId="0" applyFill="1" applyBorder="1" applyAlignment="1">
      <alignment horizontal="center" vertical="center" shrinkToFit="1"/>
    </xf>
    <xf numFmtId="0" fontId="0" fillId="12" borderId="11" xfId="0" applyFill="1" applyBorder="1" applyAlignment="1">
      <alignment horizontal="center" vertical="center" shrinkToFit="1"/>
    </xf>
    <xf numFmtId="0" fontId="3" fillId="13" borderId="10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3" borderId="1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wrapText="1"/>
    </xf>
    <xf numFmtId="0" fontId="0" fillId="0" borderId="7" xfId="0" applyBorder="1" applyAlignment="1">
      <alignment wrapText="1"/>
    </xf>
    <xf numFmtId="0" fontId="3" fillId="0" borderId="1" xfId="0" applyFont="1" applyFill="1" applyBorder="1" applyAlignment="1">
      <alignment horizontal="right" wrapText="1"/>
    </xf>
    <xf numFmtId="0" fontId="0" fillId="0" borderId="7" xfId="0" applyFill="1" applyBorder="1" applyAlignment="1">
      <alignment wrapText="1"/>
    </xf>
    <xf numFmtId="0" fontId="3" fillId="0" borderId="3" xfId="0" applyFont="1" applyFill="1" applyBorder="1" applyAlignment="1">
      <alignment horizontal="right" wrapText="1"/>
    </xf>
    <xf numFmtId="0" fontId="0" fillId="0" borderId="8" xfId="0" applyFill="1" applyBorder="1" applyAlignment="1">
      <alignment wrapText="1"/>
    </xf>
    <xf numFmtId="0" fontId="3" fillId="0" borderId="2" xfId="0" applyFont="1" applyFill="1" applyBorder="1" applyAlignment="1">
      <alignment horizontal="right" wrapText="1"/>
    </xf>
    <xf numFmtId="0" fontId="0" fillId="0" borderId="9" xfId="0" applyFill="1" applyBorder="1" applyAlignment="1">
      <alignment wrapText="1"/>
    </xf>
    <xf numFmtId="0" fontId="0" fillId="0" borderId="7" xfId="0" applyBorder="1" applyAlignment="1">
      <alignment horizontal="right" wrapText="1"/>
    </xf>
    <xf numFmtId="0" fontId="3" fillId="0" borderId="2" xfId="0" applyFont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9" xfId="0" applyBorder="1" applyAlignment="1">
      <alignment wrapText="1"/>
    </xf>
    <xf numFmtId="0" fontId="3" fillId="0" borderId="3" xfId="0" applyFont="1" applyBorder="1" applyAlignment="1">
      <alignment horizontal="right" wrapText="1"/>
    </xf>
    <xf numFmtId="0" fontId="0" fillId="0" borderId="8" xfId="0" applyBorder="1" applyAlignment="1">
      <alignment horizontal="right" wrapText="1"/>
    </xf>
    <xf numFmtId="0" fontId="3" fillId="0" borderId="15" xfId="0" applyFont="1" applyBorder="1" applyAlignment="1">
      <alignment horizontal="right" wrapText="1"/>
    </xf>
    <xf numFmtId="0" fontId="0" fillId="0" borderId="14" xfId="0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0" xfId="0" applyFont="1" applyBorder="1" applyAlignment="1">
      <alignment horizontal="right" wrapText="1"/>
    </xf>
    <xf numFmtId="0" fontId="3" fillId="0" borderId="7" xfId="0" applyFont="1" applyBorder="1" applyAlignment="1">
      <alignment horizontal="right" wrapText="1"/>
    </xf>
    <xf numFmtId="0" fontId="3" fillId="0" borderId="9" xfId="0" applyFont="1" applyBorder="1" applyAlignment="1">
      <alignment horizontal="right" wrapText="1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right" wrapText="1"/>
    </xf>
    <xf numFmtId="0" fontId="3" fillId="0" borderId="8" xfId="0" applyFont="1" applyBorder="1" applyAlignment="1">
      <alignment horizontal="right" wrapText="1"/>
    </xf>
    <xf numFmtId="0" fontId="3" fillId="0" borderId="5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3" fillId="0" borderId="12" xfId="0" applyFont="1" applyBorder="1" applyAlignment="1">
      <alignment horizontal="right" wrapText="1"/>
    </xf>
    <xf numFmtId="0" fontId="3" fillId="0" borderId="14" xfId="0" applyFont="1" applyBorder="1" applyAlignment="1">
      <alignment horizontal="right" wrapText="1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9" xfId="0" applyFont="1" applyFill="1" applyBorder="1" applyAlignment="1">
      <alignment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8" xfId="0" applyBorder="1" applyAlignment="1">
      <alignment wrapTex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left" vertical="center" shrinkToFit="1"/>
    </xf>
    <xf numFmtId="0" fontId="3" fillId="0" borderId="3" xfId="0" applyFont="1" applyFill="1" applyBorder="1" applyAlignment="1">
      <alignment horizontal="left" vertical="center" shrinkToFit="1"/>
    </xf>
    <xf numFmtId="0" fontId="3" fillId="0" borderId="4" xfId="0" applyFon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4" xfId="0" applyFont="1" applyBorder="1" applyAlignment="1">
      <alignment horizontal="left" vertical="center" textRotation="90"/>
    </xf>
    <xf numFmtId="0" fontId="3" fillId="0" borderId="1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3" fillId="0" borderId="0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15" borderId="4" xfId="0" applyFont="1" applyFill="1" applyBorder="1" applyAlignment="1">
      <alignment horizontal="right" vertical="center" wrapText="1"/>
    </xf>
    <xf numFmtId="0" fontId="3" fillId="15" borderId="7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3" fillId="15" borderId="0" xfId="0" applyFont="1" applyFill="1" applyBorder="1" applyAlignment="1">
      <alignment horizontal="right" vertical="center" wrapText="1"/>
    </xf>
    <xf numFmtId="0" fontId="3" fillId="15" borderId="9" xfId="0" applyFont="1" applyFill="1" applyBorder="1" applyAlignment="1">
      <alignment horizontal="right" vertical="center" wrapText="1"/>
    </xf>
    <xf numFmtId="0" fontId="3" fillId="10" borderId="0" xfId="0" applyFont="1" applyFill="1" applyBorder="1" applyAlignment="1">
      <alignment horizontal="right" vertical="center" wrapText="1"/>
    </xf>
    <xf numFmtId="0" fontId="3" fillId="10" borderId="9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14" borderId="5" xfId="0" applyFont="1" applyFill="1" applyBorder="1" applyAlignment="1">
      <alignment horizontal="right" vertical="center" wrapText="1"/>
    </xf>
    <xf numFmtId="0" fontId="3" fillId="14" borderId="8" xfId="0" applyFont="1" applyFill="1" applyBorder="1" applyAlignment="1">
      <alignment horizontal="right" vertical="center" wrapText="1"/>
    </xf>
    <xf numFmtId="0" fontId="3" fillId="15" borderId="5" xfId="0" applyFont="1" applyFill="1" applyBorder="1" applyAlignment="1">
      <alignment horizontal="right" vertical="center" wrapText="1"/>
    </xf>
    <xf numFmtId="0" fontId="3" fillId="15" borderId="8" xfId="0" applyFont="1" applyFill="1" applyBorder="1" applyAlignment="1">
      <alignment horizontal="right" vertical="center" wrapText="1"/>
    </xf>
    <xf numFmtId="0" fontId="3" fillId="20" borderId="5" xfId="0" applyFont="1" applyFill="1" applyBorder="1" applyAlignment="1">
      <alignment horizontal="right" vertical="center" wrapText="1"/>
    </xf>
    <xf numFmtId="0" fontId="3" fillId="20" borderId="8" xfId="0" applyFont="1" applyFill="1" applyBorder="1" applyAlignment="1">
      <alignment horizontal="right" vertical="center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3" fillId="6" borderId="5" xfId="0" applyFont="1" applyFill="1" applyBorder="1" applyAlignment="1">
      <alignment horizontal="center" vertical="center" textRotation="90" wrapText="1"/>
    </xf>
    <xf numFmtId="0" fontId="3" fillId="6" borderId="8" xfId="0" applyFont="1" applyFill="1" applyBorder="1" applyAlignment="1">
      <alignment horizontal="center" vertical="center" textRotation="90" wrapText="1"/>
    </xf>
    <xf numFmtId="0" fontId="11" fillId="6" borderId="3" xfId="0" applyFont="1" applyFill="1" applyBorder="1" applyAlignment="1">
      <alignment horizontal="center" vertical="center" textRotation="90" wrapText="1"/>
    </xf>
    <xf numFmtId="0" fontId="11" fillId="6" borderId="5" xfId="0" applyFont="1" applyFill="1" applyBorder="1" applyAlignment="1">
      <alignment horizontal="center" vertical="center" textRotation="90" wrapText="1"/>
    </xf>
    <xf numFmtId="0" fontId="3" fillId="9" borderId="3" xfId="0" applyFont="1" applyFill="1" applyBorder="1" applyAlignment="1">
      <alignment horizontal="center" vertical="center" textRotation="90" wrapText="1"/>
    </xf>
    <xf numFmtId="0" fontId="3" fillId="9" borderId="5" xfId="0" applyFont="1" applyFill="1" applyBorder="1" applyAlignment="1">
      <alignment horizontal="center" vertical="center" textRotation="90" wrapText="1"/>
    </xf>
    <xf numFmtId="0" fontId="11" fillId="6" borderId="8" xfId="0" applyFont="1" applyFill="1" applyBorder="1" applyAlignment="1">
      <alignment horizontal="center" vertical="center" textRotation="90" wrapText="1"/>
    </xf>
    <xf numFmtId="0" fontId="3" fillId="9" borderId="8" xfId="0" applyFont="1" applyFill="1" applyBorder="1" applyAlignment="1">
      <alignment horizontal="center" vertical="center" textRotation="90" wrapText="1"/>
    </xf>
    <xf numFmtId="0" fontId="3" fillId="6" borderId="15" xfId="0" applyFont="1" applyFill="1" applyBorder="1" applyAlignment="1">
      <alignment horizontal="center" vertical="center" textRotation="90" wrapText="1"/>
    </xf>
    <xf numFmtId="0" fontId="3" fillId="6" borderId="12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3" fillId="0" borderId="5" xfId="0" applyFont="1" applyBorder="1" applyAlignment="1">
      <alignment horizontal="right" vertical="top" wrapText="1"/>
    </xf>
    <xf numFmtId="0" fontId="3" fillId="0" borderId="0" xfId="0" applyFont="1" applyFill="1" applyBorder="1" applyAlignment="1">
      <alignment horizontal="right" shrinkToFit="1"/>
    </xf>
    <xf numFmtId="0" fontId="3" fillId="0" borderId="0" xfId="0" applyFont="1" applyBorder="1" applyAlignment="1">
      <alignment shrinkToFit="1"/>
    </xf>
    <xf numFmtId="167" fontId="3" fillId="0" borderId="2" xfId="0" applyNumberFormat="1" applyFont="1" applyFill="1" applyBorder="1" applyAlignment="1">
      <alignment horizontal="right" wrapText="1"/>
    </xf>
    <xf numFmtId="167" fontId="3" fillId="0" borderId="0" xfId="0" applyNumberFormat="1" applyFont="1" applyFill="1" applyBorder="1" applyAlignment="1">
      <alignment horizontal="right" wrapText="1"/>
    </xf>
    <xf numFmtId="167" fontId="3" fillId="0" borderId="9" xfId="0" applyNumberFormat="1" applyFont="1" applyFill="1" applyBorder="1" applyAlignment="1">
      <alignment horizontal="right" wrapText="1"/>
    </xf>
    <xf numFmtId="0" fontId="3" fillId="0" borderId="0" xfId="0" applyFont="1" applyBorder="1" applyAlignment="1">
      <alignment horizontal="right" shrinkToFit="1"/>
    </xf>
    <xf numFmtId="0" fontId="3" fillId="0" borderId="9" xfId="0" applyFont="1" applyBorder="1" applyAlignment="1">
      <alignment horizontal="right" shrinkToFit="1"/>
    </xf>
    <xf numFmtId="4" fontId="3" fillId="0" borderId="0" xfId="0" applyNumberFormat="1" applyFont="1" applyFill="1" applyBorder="1" applyAlignment="1">
      <alignment horizontal="right" shrinkToFi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167" fontId="3" fillId="0" borderId="3" xfId="0" applyNumberFormat="1" applyFont="1" applyFill="1" applyBorder="1" applyAlignment="1">
      <alignment horizontal="right" wrapText="1"/>
    </xf>
    <xf numFmtId="167" fontId="3" fillId="0" borderId="5" xfId="0" applyNumberFormat="1" applyFont="1" applyFill="1" applyBorder="1" applyAlignment="1">
      <alignment horizontal="right" wrapText="1"/>
    </xf>
    <xf numFmtId="167" fontId="3" fillId="0" borderId="8" xfId="0" applyNumberFormat="1" applyFont="1" applyFill="1" applyBorder="1" applyAlignment="1">
      <alignment horizontal="right" wrapText="1"/>
    </xf>
    <xf numFmtId="2" fontId="3" fillId="14" borderId="4" xfId="0" applyNumberFormat="1" applyFont="1" applyFill="1" applyBorder="1" applyAlignment="1">
      <alignment vertical="top" wrapText="1"/>
    </xf>
    <xf numFmtId="0" fontId="3" fillId="14" borderId="4" xfId="0" applyFont="1" applyFill="1" applyBorder="1" applyAlignment="1">
      <alignment vertical="top" wrapText="1"/>
    </xf>
    <xf numFmtId="0" fontId="3" fillId="14" borderId="7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right"/>
    </xf>
    <xf numFmtId="0" fontId="18" fillId="0" borderId="9" xfId="0" applyFont="1" applyFill="1" applyBorder="1" applyAlignment="1">
      <alignment horizontal="right"/>
    </xf>
    <xf numFmtId="0" fontId="25" fillId="26" borderId="4" xfId="0" applyFont="1" applyFill="1" applyBorder="1" applyAlignment="1">
      <alignment vertical="top" wrapText="1"/>
    </xf>
    <xf numFmtId="0" fontId="3" fillId="14" borderId="0" xfId="0" applyFont="1" applyFill="1" applyBorder="1" applyAlignment="1">
      <alignment horizontal="right" shrinkToFit="1"/>
    </xf>
    <xf numFmtId="0" fontId="3" fillId="14" borderId="9" xfId="0" applyFont="1" applyFill="1" applyBorder="1" applyAlignment="1">
      <alignment horizontal="right" shrinkToFit="1"/>
    </xf>
    <xf numFmtId="0" fontId="3" fillId="14" borderId="0" xfId="0" applyFont="1" applyFill="1" applyBorder="1" applyAlignment="1">
      <alignment horizontal="right" wrapText="1"/>
    </xf>
    <xf numFmtId="0" fontId="3" fillId="14" borderId="9" xfId="0" applyFont="1" applyFill="1" applyBorder="1" applyAlignment="1">
      <alignment horizontal="right" wrapText="1"/>
    </xf>
    <xf numFmtId="0" fontId="3" fillId="0" borderId="5" xfId="0" applyFont="1" applyBorder="1" applyAlignment="1">
      <alignment wrapText="1"/>
    </xf>
  </cellXfs>
  <cellStyles count="2">
    <cellStyle name="Prozent" xfId="1" builtinId="5"/>
    <cellStyle name="Stand." xfId="0" builtinId="0"/>
  </cellStyles>
  <dxfs count="32">
    <dxf>
      <fill>
        <patternFill>
          <bgColor indexed="39"/>
        </patternFill>
      </fill>
    </dxf>
    <dxf>
      <fill>
        <gradientFill type="path" left="0.5" right="0.5" top="0.5" bottom="0.5">
          <stop position="0">
            <color rgb="FFFFC000"/>
          </stop>
          <stop position="1">
            <color theme="4" tint="0.59999389629810485"/>
          </stop>
        </gradientFill>
      </fill>
    </dxf>
    <dxf>
      <fill>
        <gradientFill type="path" left="0.5" right="0.5" top="0.5" bottom="0.5">
          <stop position="0">
            <color rgb="FFCCFFCC"/>
          </stop>
          <stop position="1">
            <color theme="4" tint="0.59999389629810485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FFC000"/>
          </stop>
          <stop position="1">
            <color theme="4" tint="0.80001220740379042"/>
          </stop>
        </gradientFill>
      </fill>
    </dxf>
    <dxf>
      <fill>
        <gradientFill type="path" left="0.5" right="0.5" top="0.5" bottom="0.5">
          <stop position="0">
            <color rgb="FFCCFFCC"/>
          </stop>
          <stop position="1">
            <color theme="4" tint="0.80001220740379042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4" tint="0.40000610370189521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4" tint="0.40000610370189521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4" tint="0.59999389629810485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4" tint="0.59999389629810485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4" tint="0.80001220740379042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4" tint="0.80001220740379042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4" tint="0.40000610370189521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4" tint="0.40000610370189521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4" tint="0.59999389629810485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4" tint="0.59999389629810485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4" tint="0.80001220740379042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4" tint="0.80001220740379042"/>
          </stop>
        </gradientFill>
      </fill>
    </dxf>
    <dxf>
      <fill>
        <gradientFill type="path" left="0.5" right="0.5" top="0.5" bottom="0.5">
          <stop position="0">
            <color rgb="FFFFC000"/>
          </stop>
          <stop position="1">
            <color theme="4" tint="0.40000610370189521"/>
          </stop>
        </gradientFill>
      </fill>
    </dxf>
    <dxf>
      <fill>
        <gradientFill type="path" left="0.5" right="0.5" top="0.5" bottom="0.5">
          <stop position="0">
            <color rgb="FFCCFFCC"/>
          </stop>
          <stop position="1">
            <color theme="4" tint="0.40000610370189521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rgb="FF00B050"/>
          </stop>
          <stop position="1">
            <color theme="0"/>
          </stop>
        </gradientFill>
      </fill>
    </dxf>
    <dxf>
      <fill>
        <patternFill>
          <bgColor theme="6" tint="0.59996337778862885"/>
        </patternFill>
      </fill>
    </dxf>
    <dxf>
      <fill>
        <patternFill>
          <bgColor indexed="39"/>
        </patternFill>
      </fill>
    </dxf>
    <dxf>
      <fill>
        <patternFill>
          <bgColor indexed="39"/>
        </patternFill>
      </fill>
    </dxf>
    <dxf>
      <fill>
        <patternFill>
          <bgColor indexed="39"/>
        </patternFill>
      </fill>
    </dxf>
    <dxf>
      <fill>
        <patternFill>
          <bgColor indexed="39"/>
        </patternFill>
      </fill>
    </dxf>
    <dxf>
      <fill>
        <patternFill>
          <bgColor indexed="37"/>
        </patternFill>
      </fill>
    </dxf>
    <dxf>
      <fill>
        <patternFill>
          <bgColor indexed="3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0066FF"/>
      <rgbColor rgb="00EAEAEA"/>
      <rgbColor rgb="00CC0000"/>
      <rgbColor rgb="00A5161D"/>
      <rgbColor rgb="00FF0000"/>
      <rgbColor rgb="00FF6600"/>
      <rgbColor rgb="0099FF99"/>
      <rgbColor rgb="00A1BAE0"/>
      <rgbColor rgb="002E66BA"/>
      <rgbColor rgb="00179C69"/>
      <rgbColor rgb="005482C7"/>
      <rgbColor rgb="00777777"/>
      <rgbColor rgb="00084AAD"/>
      <rgbColor rgb="00FF33CC"/>
      <rgbColor rgb="00FFC800"/>
      <rgbColor rgb="00FFFFFF"/>
      <rgbColor rgb="00000000"/>
      <rgbColor rgb="00707061"/>
      <rgbColor rgb="00D8D8D5"/>
      <rgbColor rgb="00113388"/>
      <rgbColor rgb="00426BB3"/>
      <rgbColor rgb="00819CCC"/>
      <rgbColor rgb="00C6CEE2"/>
      <rgbColor rgb="00216F2C"/>
      <rgbColor rgb="00FBBC01"/>
      <rgbColor rgb="00C60000"/>
      <rgbColor rgb="00FFFFFF"/>
      <rgbColor rgb="003F5429"/>
      <rgbColor rgb="00C7D8B5"/>
      <rgbColor rgb="00F1701A"/>
      <rgbColor rgb="00FED4A6"/>
      <rgbColor rgb="00009900"/>
      <rgbColor rgb="00CC9900"/>
      <rgbColor rgb="00FFFF00"/>
      <rgbColor rgb="00FFFF66"/>
      <rgbColor rgb="00FFFFFF"/>
      <rgbColor rgb="00FFFFCC"/>
      <rgbColor rgb="0099CCFF"/>
      <rgbColor rgb="00FFFF99"/>
      <rgbColor rgb="00808080"/>
      <rgbColor rgb="00969696"/>
      <rgbColor rgb="00C0C0C0"/>
      <rgbColor rgb="00FF3300"/>
      <rgbColor rgb="00DDDDDD"/>
      <rgbColor rgb="007A9ED4"/>
      <rgbColor rgb="00008D47"/>
      <rgbColor rgb="005F5F5F"/>
      <rgbColor rgb="005AB38E"/>
      <rgbColor rgb="00B2B2B2"/>
      <rgbColor rgb="0084C6A9"/>
      <rgbColor rgb="00A8D5C0"/>
      <rgbColor rgb="00CCE6DA"/>
      <rgbColor rgb="00FF99FF"/>
      <rgbColor rgb="00008D47"/>
      <rgbColor rgb="0000703A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774700</xdr:colOff>
          <xdr:row>33</xdr:row>
          <xdr:rowOff>50800</xdr:rowOff>
        </xdr:from>
        <xdr:to>
          <xdr:col>15</xdr:col>
          <xdr:colOff>533400</xdr:colOff>
          <xdr:row>36</xdr:row>
          <xdr:rowOff>12700</xdr:rowOff>
        </xdr:to>
        <xdr:sp macro="" textlink="">
          <xdr:nvSpPr>
            <xdr:cNvPr id="2760" name="Object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4" Type="http://schemas.openxmlformats.org/officeDocument/2006/relationships/image" Target="../media/image1.wmf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3:F30"/>
  <sheetViews>
    <sheetView showGridLines="0" zoomScale="75" zoomScaleNormal="75" workbookViewId="0">
      <selection activeCell="B15" sqref="B15"/>
    </sheetView>
  </sheetViews>
  <sheetFormatPr baseColWidth="10" defaultRowHeight="13" x14ac:dyDescent="0.15"/>
  <cols>
    <col min="1" max="1" width="10.83203125" style="64"/>
    <col min="2" max="4" width="10.83203125" style="5"/>
    <col min="5" max="16384" width="10.83203125" style="64"/>
  </cols>
  <sheetData>
    <row r="3" spans="1:6" x14ac:dyDescent="0.15">
      <c r="B3" s="63" t="s">
        <v>30</v>
      </c>
      <c r="C3" s="63"/>
      <c r="D3" s="63"/>
    </row>
    <row r="4" spans="1:6" x14ac:dyDescent="0.15">
      <c r="B4" s="63"/>
      <c r="C4" s="63"/>
      <c r="D4" s="63"/>
    </row>
    <row r="5" spans="1:6" x14ac:dyDescent="0.15">
      <c r="B5" s="63"/>
      <c r="C5" s="63"/>
      <c r="D5" s="63"/>
    </row>
    <row r="6" spans="1:6" x14ac:dyDescent="0.15">
      <c r="B6" s="63"/>
      <c r="C6" s="63"/>
      <c r="D6" s="63"/>
    </row>
    <row r="7" spans="1:6" x14ac:dyDescent="0.15">
      <c r="B7" s="65" t="s">
        <v>188</v>
      </c>
      <c r="C7" s="65"/>
      <c r="D7" s="65"/>
      <c r="F7" s="65"/>
    </row>
    <row r="8" spans="1:6" x14ac:dyDescent="0.15">
      <c r="B8" s="62" t="s">
        <v>18</v>
      </c>
      <c r="C8" s="62" t="s">
        <v>27</v>
      </c>
      <c r="D8" s="5" t="str">
        <f xml:space="preserve"> C8</f>
        <v>x_spez.</v>
      </c>
      <c r="E8" s="62" t="s">
        <v>24</v>
      </c>
      <c r="F8" s="65" t="s">
        <v>240</v>
      </c>
    </row>
    <row r="9" spans="1:6" x14ac:dyDescent="0.15">
      <c r="B9" s="62"/>
      <c r="C9" s="62"/>
      <c r="E9" s="62"/>
    </row>
    <row r="10" spans="1:6" x14ac:dyDescent="0.15">
      <c r="A10" s="62" t="s">
        <v>279</v>
      </c>
      <c r="B10" s="62">
        <v>1</v>
      </c>
      <c r="C10" s="62" t="s">
        <v>189</v>
      </c>
      <c r="D10" s="5" t="str">
        <f xml:space="preserve"> C10</f>
        <v>x_α</v>
      </c>
      <c r="E10" s="62" t="s">
        <v>16</v>
      </c>
      <c r="F10" s="62" t="s">
        <v>40</v>
      </c>
    </row>
    <row r="11" spans="1:6" x14ac:dyDescent="0.15">
      <c r="A11" s="62" t="s">
        <v>279</v>
      </c>
      <c r="B11" s="62">
        <f xml:space="preserve"> B10 + 1</f>
        <v>2</v>
      </c>
      <c r="C11" s="62" t="s">
        <v>209</v>
      </c>
      <c r="D11" s="63" t="str">
        <f xml:space="preserve"> C11 &amp; ",  x_r"</f>
        <v>x_N,  x_r</v>
      </c>
      <c r="E11" s="62" t="s">
        <v>16</v>
      </c>
      <c r="F11" s="62" t="s">
        <v>41</v>
      </c>
    </row>
    <row r="12" spans="1:6" x14ac:dyDescent="0.15">
      <c r="A12" s="62" t="s">
        <v>279</v>
      </c>
      <c r="B12" s="62">
        <f xml:space="preserve"> B11 + 1</f>
        <v>3</v>
      </c>
      <c r="C12" s="62"/>
      <c r="E12" s="62" t="s">
        <v>16</v>
      </c>
    </row>
    <row r="13" spans="1:6" x14ac:dyDescent="0.15">
      <c r="A13" s="62" t="s">
        <v>279</v>
      </c>
      <c r="B13" s="62">
        <f xml:space="preserve"> B12 + 1</f>
        <v>4</v>
      </c>
      <c r="C13" s="62" t="s">
        <v>182</v>
      </c>
      <c r="D13" s="5" t="str">
        <f xml:space="preserve"> C13</f>
        <v>x_s</v>
      </c>
      <c r="E13" s="62" t="s">
        <v>17</v>
      </c>
    </row>
    <row r="14" spans="1:6" x14ac:dyDescent="0.15">
      <c r="A14" s="62" t="s">
        <v>279</v>
      </c>
      <c r="B14" s="62">
        <f xml:space="preserve"> B13 + 1</f>
        <v>5</v>
      </c>
      <c r="C14" s="62" t="s">
        <v>190</v>
      </c>
      <c r="D14" s="5" t="str">
        <f xml:space="preserve"> C14</f>
        <v>x_ω</v>
      </c>
      <c r="E14" s="62" t="s">
        <v>17</v>
      </c>
    </row>
    <row r="15" spans="1:6" x14ac:dyDescent="0.15">
      <c r="B15" s="62" t="s">
        <v>7</v>
      </c>
      <c r="C15" s="62"/>
      <c r="D15" s="62"/>
    </row>
    <row r="16" spans="1:6" x14ac:dyDescent="0.15">
      <c r="A16" s="62" t="s">
        <v>279</v>
      </c>
      <c r="B16" s="62" t="s">
        <v>7</v>
      </c>
      <c r="C16" s="62"/>
      <c r="D16" s="62"/>
    </row>
    <row r="21" spans="3:4" x14ac:dyDescent="0.15">
      <c r="C21" s="66" t="s">
        <v>183</v>
      </c>
      <c r="D21" s="66" t="s">
        <v>194</v>
      </c>
    </row>
    <row r="22" spans="3:4" x14ac:dyDescent="0.15">
      <c r="C22" s="67" t="s">
        <v>184</v>
      </c>
      <c r="D22" s="67" t="s">
        <v>195</v>
      </c>
    </row>
    <row r="23" spans="3:4" x14ac:dyDescent="0.15">
      <c r="C23" s="68" t="s">
        <v>191</v>
      </c>
      <c r="D23" s="68" t="s">
        <v>196</v>
      </c>
    </row>
    <row r="24" spans="3:4" x14ac:dyDescent="0.15">
      <c r="C24" s="64"/>
      <c r="D24" s="64"/>
    </row>
    <row r="25" spans="3:4" x14ac:dyDescent="0.15">
      <c r="C25" s="64"/>
      <c r="D25" s="64"/>
    </row>
    <row r="26" spans="3:4" x14ac:dyDescent="0.15">
      <c r="C26" s="64"/>
      <c r="D26" s="64"/>
    </row>
    <row r="27" spans="3:4" x14ac:dyDescent="0.15">
      <c r="C27" s="64"/>
      <c r="D27" s="64"/>
    </row>
    <row r="28" spans="3:4" x14ac:dyDescent="0.15">
      <c r="C28" s="248" t="s">
        <v>33</v>
      </c>
      <c r="D28" s="64"/>
    </row>
    <row r="29" spans="3:4" x14ac:dyDescent="0.15">
      <c r="C29" s="248" t="s">
        <v>37</v>
      </c>
      <c r="D29" s="64"/>
    </row>
    <row r="30" spans="3:4" x14ac:dyDescent="0.15">
      <c r="C30" s="248" t="s">
        <v>63</v>
      </c>
      <c r="D30" s="64"/>
    </row>
  </sheetData>
  <pageMargins left="0.7" right="0.7" top="0.78740157499999996" bottom="0.78740157499999996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22"/>
  <sheetViews>
    <sheetView showGridLines="0" zoomScale="110" zoomScaleNormal="110" workbookViewId="0">
      <selection activeCell="E11" sqref="E11"/>
    </sheetView>
  </sheetViews>
  <sheetFormatPr baseColWidth="10" defaultRowHeight="13" x14ac:dyDescent="0.15"/>
  <cols>
    <col min="1" max="16384" width="10.83203125" style="69"/>
  </cols>
  <sheetData>
    <row r="3" spans="2:17" x14ac:dyDescent="0.15">
      <c r="B3" s="75"/>
      <c r="C3" s="873" t="str">
        <f xml:space="preserve"> EING!$B3</f>
        <v>Rundungsstellen</v>
      </c>
      <c r="D3" s="874"/>
      <c r="E3" s="142"/>
      <c r="F3" s="142"/>
      <c r="G3" s="142"/>
      <c r="H3" s="143">
        <v>4</v>
      </c>
      <c r="I3" s="144">
        <f xml:space="preserve"> H3</f>
        <v>4</v>
      </c>
      <c r="J3" s="143">
        <v>4</v>
      </c>
      <c r="K3" s="144">
        <f xml:space="preserve"> J3</f>
        <v>4</v>
      </c>
      <c r="L3" s="143">
        <v>2</v>
      </c>
      <c r="M3" s="144">
        <f xml:space="preserve"> L3</f>
        <v>2</v>
      </c>
      <c r="N3" s="144">
        <f xml:space="preserve"> M3</f>
        <v>2</v>
      </c>
      <c r="O3" s="143">
        <v>0</v>
      </c>
      <c r="P3" s="143">
        <v>99</v>
      </c>
      <c r="Q3" s="75"/>
    </row>
    <row r="4" spans="2:17" x14ac:dyDescent="0.15"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2" t="s">
        <v>199</v>
      </c>
      <c r="P4" s="73" t="s">
        <v>187</v>
      </c>
    </row>
    <row r="5" spans="2:17" x14ac:dyDescent="0.15">
      <c r="C5" s="74"/>
      <c r="D5" s="75"/>
      <c r="E5" s="75"/>
      <c r="F5" s="75"/>
      <c r="G5" s="75"/>
      <c r="H5" s="75"/>
      <c r="I5" s="75"/>
      <c r="J5" s="878" t="s">
        <v>198</v>
      </c>
      <c r="K5" s="879"/>
      <c r="L5" s="76">
        <v>0.9</v>
      </c>
      <c r="M5" s="76">
        <v>0.8</v>
      </c>
      <c r="N5" s="75"/>
      <c r="O5" s="77" t="str">
        <f xml:space="preserve"> "l_(" &amp; D10 &amp; ")"</f>
        <v>l_(x_α)</v>
      </c>
      <c r="P5" s="78" t="str">
        <f xml:space="preserve"> "e_(" &amp; D14 &amp; "+1)"</f>
        <v>e_(x_ω+1)</v>
      </c>
    </row>
    <row r="6" spans="2:17" x14ac:dyDescent="0.15">
      <c r="C6" s="74"/>
      <c r="D6" s="75"/>
      <c r="E6" s="75"/>
      <c r="F6" s="75"/>
      <c r="G6" s="75"/>
      <c r="H6" s="75"/>
      <c r="I6" s="75"/>
      <c r="J6" s="880" t="s">
        <v>197</v>
      </c>
      <c r="K6" s="881"/>
      <c r="L6" s="76">
        <v>1</v>
      </c>
      <c r="M6" s="76">
        <v>0</v>
      </c>
      <c r="N6" s="75"/>
      <c r="O6" s="79">
        <v>100</v>
      </c>
      <c r="P6" s="80">
        <v>0</v>
      </c>
    </row>
    <row r="7" spans="2:17" x14ac:dyDescent="0.15">
      <c r="C7" s="893" t="str">
        <f xml:space="preserve"> EING!$B7</f>
        <v>Alter</v>
      </c>
      <c r="D7" s="894"/>
      <c r="E7" s="887" t="str">
        <f xml:space="preserve"> beobW</f>
        <v>beobachtete Werte</v>
      </c>
      <c r="F7" s="888"/>
      <c r="G7" s="888"/>
      <c r="H7" s="888"/>
      <c r="I7" s="889"/>
      <c r="J7" s="885" t="str">
        <f xml:space="preserve"> effW</f>
        <v>effektive Werte</v>
      </c>
      <c r="K7" s="886"/>
      <c r="L7" s="890" t="str">
        <f xml:space="preserve"> rmW</f>
        <v>rechnungsmäßige Werte</v>
      </c>
      <c r="M7" s="891"/>
      <c r="N7" s="891"/>
      <c r="O7" s="891"/>
      <c r="P7" s="892"/>
    </row>
    <row r="8" spans="2:17" x14ac:dyDescent="0.15">
      <c r="C8" s="82" t="str">
        <f xml:space="preserve"> EING!$B8</f>
        <v>x</v>
      </c>
      <c r="D8" s="83" t="str">
        <f xml:space="preserve"> EING!$C8</f>
        <v>x_spez.</v>
      </c>
      <c r="E8" s="82" t="s">
        <v>201</v>
      </c>
      <c r="F8" s="84" t="s">
        <v>126</v>
      </c>
      <c r="G8" s="84" t="s">
        <v>127</v>
      </c>
      <c r="H8" s="84" t="s">
        <v>128</v>
      </c>
      <c r="I8" s="83" t="s">
        <v>129</v>
      </c>
      <c r="J8" s="82" t="s">
        <v>185</v>
      </c>
      <c r="K8" s="83" t="s">
        <v>186</v>
      </c>
      <c r="L8" s="82" t="s">
        <v>0</v>
      </c>
      <c r="M8" s="84" t="s">
        <v>1</v>
      </c>
      <c r="N8" s="84" t="s">
        <v>2</v>
      </c>
      <c r="O8" s="84" t="s">
        <v>6</v>
      </c>
      <c r="P8" s="83" t="s">
        <v>3</v>
      </c>
    </row>
    <row r="9" spans="2:17" x14ac:dyDescent="0.15">
      <c r="C9" s="85"/>
      <c r="D9" s="169"/>
      <c r="E9" s="74"/>
      <c r="F9" s="75"/>
      <c r="G9" s="75"/>
      <c r="H9" s="75"/>
      <c r="I9" s="86"/>
      <c r="J9" s="74"/>
      <c r="K9" s="86"/>
      <c r="L9" s="74"/>
      <c r="M9" s="75"/>
      <c r="N9" s="75"/>
      <c r="O9" s="75"/>
      <c r="P9" s="86"/>
    </row>
    <row r="10" spans="2:17" x14ac:dyDescent="0.15">
      <c r="C10" s="85">
        <f xml:space="preserve"> EING!$B10</f>
        <v>1</v>
      </c>
      <c r="D10" s="169" t="str">
        <f xml:space="preserve"> EING!$C10</f>
        <v>x_α</v>
      </c>
      <c r="E10" s="170">
        <v>100</v>
      </c>
      <c r="F10" s="87">
        <v>2</v>
      </c>
      <c r="G10" s="87">
        <v>11</v>
      </c>
      <c r="H10" s="88">
        <f t="shared" ref="H10:I14" si="0" xml:space="preserve"> ROUND( F10 / $E10, H$3 )</f>
        <v>0.02</v>
      </c>
      <c r="I10" s="91">
        <f t="shared" si="0"/>
        <v>0.11</v>
      </c>
      <c r="J10" s="176">
        <f xml:space="preserve"> ROUND(   MAX(  J9,  MAX( 0, H10 - 0.01 )  ),   J$3   )</f>
        <v>0.01</v>
      </c>
      <c r="K10" s="91">
        <f xml:space="preserve"> ROUND(   MIN(  K9,  MAX( 0, I10 - 0.01 )  ),   K$3   )</f>
        <v>0.1</v>
      </c>
      <c r="L10" s="179">
        <f t="shared" ref="L10:M14" si="1" xml:space="preserve">   IF(  $C10=$C$14,  IF( L$8=$L$8, $L$6, $M$6 ),  ROUND( J10 * L$5, L$3 )  )</f>
        <v>0.01</v>
      </c>
      <c r="M10" s="89">
        <f t="shared" si="1"/>
        <v>0.08</v>
      </c>
      <c r="N10" s="89">
        <f xml:space="preserve"> MIN( 1, L10 + M10 )</f>
        <v>0.09</v>
      </c>
      <c r="O10" s="90">
        <f xml:space="preserve"> IF(  C10=$C$10,  O$6,  ROUND( O9 * ( 1 - N9), O$3 )  )</f>
        <v>100</v>
      </c>
      <c r="P10" s="91">
        <f t="shared" ref="P10:P15" si="2" xml:space="preserve"> IF(   C9=$C$14,   P$6,   ROUND(  ( 1 - N10 ) * ( 1 + P11 ) + 1/2 * N10,  P$3  )   )</f>
        <v>3.4444688000000001</v>
      </c>
    </row>
    <row r="11" spans="2:17" x14ac:dyDescent="0.15">
      <c r="C11" s="85">
        <f xml:space="preserve"> EING!$B11</f>
        <v>2</v>
      </c>
      <c r="D11" s="169"/>
      <c r="E11" s="170">
        <v>100</v>
      </c>
      <c r="F11" s="87">
        <v>4</v>
      </c>
      <c r="G11" s="87">
        <v>15</v>
      </c>
      <c r="H11" s="88">
        <f t="shared" si="0"/>
        <v>0.04</v>
      </c>
      <c r="I11" s="91">
        <f t="shared" si="0"/>
        <v>0.15</v>
      </c>
      <c r="J11" s="176">
        <f xml:space="preserve"> ROUND(   MAX(  J10,  MAX( 0, H11 - 0.01 )  ),   J$3   )</f>
        <v>0.03</v>
      </c>
      <c r="K11" s="91">
        <f xml:space="preserve"> ROUND(   MIN(  K10,  MAX( 0, I11 - 0.01 )  ),   K$3   )</f>
        <v>0.1</v>
      </c>
      <c r="L11" s="179">
        <f t="shared" si="1"/>
        <v>0.03</v>
      </c>
      <c r="M11" s="89">
        <f t="shared" si="1"/>
        <v>0.08</v>
      </c>
      <c r="N11" s="89">
        <f xml:space="preserve"> MIN( 1, L11 + M11 )</f>
        <v>0.11</v>
      </c>
      <c r="O11" s="90">
        <f xml:space="preserve"> IF(  C11=$C$10,  O$6,  ROUND( O10 * ( 1 - N10), O$3 )  )</f>
        <v>91</v>
      </c>
      <c r="P11" s="91">
        <f t="shared" si="2"/>
        <v>2.7356799999999999</v>
      </c>
    </row>
    <row r="12" spans="2:17" x14ac:dyDescent="0.15">
      <c r="C12" s="85">
        <f xml:space="preserve"> EING!$B12</f>
        <v>3</v>
      </c>
      <c r="D12" s="169"/>
      <c r="E12" s="170">
        <v>10</v>
      </c>
      <c r="F12" s="87">
        <v>0</v>
      </c>
      <c r="G12" s="87">
        <v>1</v>
      </c>
      <c r="H12" s="88">
        <f t="shared" si="0"/>
        <v>0</v>
      </c>
      <c r="I12" s="91">
        <f t="shared" si="0"/>
        <v>0.1</v>
      </c>
      <c r="J12" s="176">
        <f xml:space="preserve"> ROUND(   MAX(  J11,  MAX( 0, H12 - 0.01 )  ),   J$3   )</f>
        <v>0.03</v>
      </c>
      <c r="K12" s="91">
        <f xml:space="preserve"> ROUND(   MIN(  K11,  MAX( 0, I12 - 0.01 )  ),   K$3   )</f>
        <v>0.09</v>
      </c>
      <c r="L12" s="179">
        <f t="shared" si="1"/>
        <v>0.03</v>
      </c>
      <c r="M12" s="89">
        <f t="shared" si="1"/>
        <v>7.0000000000000007E-2</v>
      </c>
      <c r="N12" s="89">
        <f xml:space="preserve"> MIN( 1, L12 + M12 )</f>
        <v>0.1</v>
      </c>
      <c r="O12" s="90">
        <f xml:space="preserve"> IF(  C12=$C$10,  O$6,  ROUND( O11 * ( 1 - N11), O$3 )  )</f>
        <v>81</v>
      </c>
      <c r="P12" s="91">
        <f t="shared" si="2"/>
        <v>2.012</v>
      </c>
    </row>
    <row r="13" spans="2:17" x14ac:dyDescent="0.15">
      <c r="C13" s="85">
        <f xml:space="preserve"> EING!$B13</f>
        <v>4</v>
      </c>
      <c r="D13" s="169"/>
      <c r="E13" s="170">
        <v>100</v>
      </c>
      <c r="F13" s="87">
        <v>33</v>
      </c>
      <c r="G13" s="87">
        <v>5</v>
      </c>
      <c r="H13" s="88">
        <f t="shared" si="0"/>
        <v>0.33</v>
      </c>
      <c r="I13" s="91">
        <f t="shared" si="0"/>
        <v>0.05</v>
      </c>
      <c r="J13" s="176">
        <f xml:space="preserve"> ROUND(   MAX(  J12,  MAX( 0, H13 - 0.01 )  ),   J$3   )</f>
        <v>0.32</v>
      </c>
      <c r="K13" s="91">
        <f xml:space="preserve"> ROUND(   MIN(  K12,  MAX( 0, I13 - 0.01 )  ),   K$3   )</f>
        <v>0.04</v>
      </c>
      <c r="L13" s="179">
        <f t="shared" si="1"/>
        <v>0.28999999999999998</v>
      </c>
      <c r="M13" s="89">
        <f t="shared" si="1"/>
        <v>0.03</v>
      </c>
      <c r="N13" s="89">
        <f xml:space="preserve"> MIN( 1, L13 + M13 )</f>
        <v>0.31999999999999995</v>
      </c>
      <c r="O13" s="90">
        <f xml:space="preserve"> IF(  C13=$C$10,  O$6,  ROUND( O12 * ( 1 - N12), O$3 )  )</f>
        <v>73</v>
      </c>
      <c r="P13" s="91">
        <f t="shared" si="2"/>
        <v>1.18</v>
      </c>
    </row>
    <row r="14" spans="2:17" x14ac:dyDescent="0.15">
      <c r="C14" s="85">
        <f xml:space="preserve"> EING!$B14</f>
        <v>5</v>
      </c>
      <c r="D14" s="169" t="str">
        <f xml:space="preserve"> EING!$C14</f>
        <v>x_ω</v>
      </c>
      <c r="E14" s="170">
        <v>100</v>
      </c>
      <c r="F14" s="92">
        <v>99</v>
      </c>
      <c r="G14" s="87">
        <v>0</v>
      </c>
      <c r="H14" s="88">
        <f t="shared" si="0"/>
        <v>0.99</v>
      </c>
      <c r="I14" s="91">
        <f t="shared" si="0"/>
        <v>0</v>
      </c>
      <c r="J14" s="176">
        <f xml:space="preserve"> ROUND(   MAX(  J13,  MAX( 0, H14 - 0.01 )  ),   J$3   )</f>
        <v>0.98</v>
      </c>
      <c r="K14" s="91">
        <f xml:space="preserve"> ROUND(   MIN(  K13,  MAX( 0, I14 - 0.01 )  ),   K$3   )</f>
        <v>0</v>
      </c>
      <c r="L14" s="179">
        <f t="shared" si="1"/>
        <v>1</v>
      </c>
      <c r="M14" s="89">
        <f t="shared" si="1"/>
        <v>0</v>
      </c>
      <c r="N14" s="89">
        <f xml:space="preserve"> MIN( 1, L14 + M14 )</f>
        <v>1</v>
      </c>
      <c r="O14" s="90">
        <f xml:space="preserve"> IF(  C14=$C$10,  O$6,  ROUND( O13 * ( 1 - N13), O$3 )  )</f>
        <v>50</v>
      </c>
      <c r="P14" s="91">
        <f t="shared" si="2"/>
        <v>0.5</v>
      </c>
    </row>
    <row r="15" spans="2:17" x14ac:dyDescent="0.15">
      <c r="C15" s="85"/>
      <c r="D15" s="169"/>
      <c r="E15" s="74"/>
      <c r="F15" s="75"/>
      <c r="G15" s="75"/>
      <c r="H15" s="93"/>
      <c r="I15" s="171"/>
      <c r="J15" s="74"/>
      <c r="K15" s="86"/>
      <c r="L15" s="74"/>
      <c r="M15" s="75"/>
      <c r="N15" s="94"/>
      <c r="O15" s="75"/>
      <c r="P15" s="91">
        <f t="shared" si="2"/>
        <v>0</v>
      </c>
    </row>
    <row r="16" spans="2:17" x14ac:dyDescent="0.15">
      <c r="C16" s="82" t="str">
        <f xml:space="preserve"> EING!$B16</f>
        <v>Summe</v>
      </c>
      <c r="D16" s="83"/>
      <c r="E16" s="172">
        <f xml:space="preserve"> SUM(E10:E14 )</f>
        <v>410</v>
      </c>
      <c r="F16" s="173">
        <f xml:space="preserve"> SUM(F10:F14 )</f>
        <v>138</v>
      </c>
      <c r="G16" s="173">
        <f xml:space="preserve"> SUM(G10:G14 )</f>
        <v>32</v>
      </c>
      <c r="H16" s="174">
        <f xml:space="preserve"> ROUND( F16 / $E16, H$3 )</f>
        <v>0.33660000000000001</v>
      </c>
      <c r="I16" s="175">
        <f xml:space="preserve"> ROUND( G16 / $E16, I$3 )</f>
        <v>7.8E-2</v>
      </c>
      <c r="J16" s="177">
        <f t="shared" ref="J16:P16" si="3" xml:space="preserve"> ROUND(  SUMPRODUCT( J10:J14, $E$10:$E$14 ) / SUM( $E$10:$E$14 ),  J$3  )</f>
        <v>0.3276</v>
      </c>
      <c r="K16" s="178">
        <f t="shared" si="3"/>
        <v>6.0699999999999997E-2</v>
      </c>
      <c r="L16" s="177">
        <f t="shared" si="3"/>
        <v>0.33</v>
      </c>
      <c r="M16" s="180">
        <f t="shared" si="3"/>
        <v>0.05</v>
      </c>
      <c r="N16" s="180">
        <f t="shared" si="3"/>
        <v>0.37</v>
      </c>
      <c r="O16" s="181">
        <f t="shared" si="3"/>
        <v>79</v>
      </c>
      <c r="P16" s="178">
        <f t="shared" si="3"/>
        <v>1.96618263414634</v>
      </c>
    </row>
    <row r="17" spans="3:16" x14ac:dyDescent="0.15">
      <c r="C17" s="8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86"/>
    </row>
    <row r="18" spans="3:16" x14ac:dyDescent="0.15">
      <c r="C18" s="875" t="str">
        <f xml:space="preserve"> E8 &amp; ": Stichtagsbestand zu Beginn des Beobachtungszeitraums"</f>
        <v>L^StTag^_x: Stichtagsbestand zu Beginn des Beobachtungszeitraums</v>
      </c>
      <c r="D18" s="876"/>
      <c r="E18" s="876"/>
      <c r="F18" s="876"/>
      <c r="G18" s="876"/>
      <c r="H18" s="876"/>
      <c r="I18" s="876"/>
      <c r="J18" s="876"/>
      <c r="K18" s="876"/>
      <c r="L18" s="876"/>
      <c r="M18" s="876"/>
      <c r="N18" s="876"/>
      <c r="O18" s="876"/>
      <c r="P18" s="877"/>
    </row>
    <row r="19" spans="3:16" x14ac:dyDescent="0.15">
      <c r="C19" s="875" t="s">
        <v>192</v>
      </c>
      <c r="D19" s="876"/>
      <c r="E19" s="876"/>
      <c r="F19" s="876"/>
      <c r="G19" s="876"/>
      <c r="H19" s="876"/>
      <c r="I19" s="876"/>
      <c r="J19" s="876"/>
      <c r="K19" s="876"/>
      <c r="L19" s="876"/>
      <c r="M19" s="876"/>
      <c r="N19" s="876"/>
      <c r="O19" s="876"/>
      <c r="P19" s="877"/>
    </row>
    <row r="20" spans="3:16" x14ac:dyDescent="0.15">
      <c r="C20" s="875" t="s">
        <v>221</v>
      </c>
      <c r="D20" s="876"/>
      <c r="E20" s="876"/>
      <c r="F20" s="876"/>
      <c r="G20" s="876"/>
      <c r="H20" s="876"/>
      <c r="I20" s="876"/>
      <c r="J20" s="876"/>
      <c r="K20" s="876"/>
      <c r="L20" s="876"/>
      <c r="M20" s="876"/>
      <c r="N20" s="876"/>
      <c r="O20" s="876"/>
      <c r="P20" s="877"/>
    </row>
    <row r="21" spans="3:16" x14ac:dyDescent="0.15">
      <c r="C21" s="875" t="s">
        <v>220</v>
      </c>
      <c r="D21" s="876"/>
      <c r="E21" s="876"/>
      <c r="F21" s="876"/>
      <c r="G21" s="876"/>
      <c r="H21" s="876"/>
      <c r="I21" s="876"/>
      <c r="J21" s="876"/>
      <c r="K21" s="876"/>
      <c r="L21" s="876"/>
      <c r="M21" s="876"/>
      <c r="N21" s="876"/>
      <c r="O21" s="876"/>
      <c r="P21" s="877"/>
    </row>
    <row r="22" spans="3:16" x14ac:dyDescent="0.15">
      <c r="C22" s="882" t="s">
        <v>34</v>
      </c>
      <c r="D22" s="883"/>
      <c r="E22" s="883"/>
      <c r="F22" s="883"/>
      <c r="G22" s="883"/>
      <c r="H22" s="883"/>
      <c r="I22" s="883"/>
      <c r="J22" s="883"/>
      <c r="K22" s="883"/>
      <c r="L22" s="883"/>
      <c r="M22" s="883"/>
      <c r="N22" s="883"/>
      <c r="O22" s="883"/>
      <c r="P22" s="884"/>
    </row>
  </sheetData>
  <mergeCells count="12">
    <mergeCell ref="C22:P22"/>
    <mergeCell ref="C20:P20"/>
    <mergeCell ref="J7:K7"/>
    <mergeCell ref="E7:I7"/>
    <mergeCell ref="L7:P7"/>
    <mergeCell ref="C7:D7"/>
    <mergeCell ref="C3:D3"/>
    <mergeCell ref="C19:P19"/>
    <mergeCell ref="C18:P18"/>
    <mergeCell ref="J5:K5"/>
    <mergeCell ref="J6:K6"/>
    <mergeCell ref="C21:P21"/>
  </mergeCells>
  <pageMargins left="0.7" right="0.7" top="0.78740157499999996" bottom="0.78740157499999996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N78"/>
  <sheetViews>
    <sheetView showGridLines="0" topLeftCell="S1" workbookViewId="0">
      <selection activeCell="AH18" sqref="AH18"/>
    </sheetView>
  </sheetViews>
  <sheetFormatPr baseColWidth="10" defaultRowHeight="13" x14ac:dyDescent="0.15"/>
  <cols>
    <col min="1" max="1" width="10.83203125" style="95"/>
    <col min="2" max="4" width="7.83203125" style="95" customWidth="1"/>
    <col min="5" max="7" width="10.83203125" style="95"/>
    <col min="8" max="17" width="5.83203125" style="95" customWidth="1"/>
    <col min="18" max="35" width="10.83203125" style="95"/>
    <col min="36" max="36" width="10.83203125" style="216"/>
    <col min="37" max="16384" width="10.83203125" style="95"/>
  </cols>
  <sheetData>
    <row r="1" spans="2:66" x14ac:dyDescent="0.15">
      <c r="G1" s="152">
        <f xml:space="preserve"> AH4</f>
        <v>2</v>
      </c>
    </row>
    <row r="2" spans="2:66" x14ac:dyDescent="0.15">
      <c r="G2" s="152">
        <f xml:space="preserve"> Y4</f>
        <v>2</v>
      </c>
    </row>
    <row r="4" spans="2:66" x14ac:dyDescent="0.15">
      <c r="B4" s="112" t="s">
        <v>133</v>
      </c>
      <c r="C4" s="113"/>
      <c r="D4" s="113"/>
      <c r="E4" s="114" t="s">
        <v>130</v>
      </c>
      <c r="F4" s="114"/>
      <c r="G4" s="184" t="s">
        <v>223</v>
      </c>
      <c r="H4" s="115">
        <v>1</v>
      </c>
      <c r="I4" s="115">
        <v>2</v>
      </c>
      <c r="J4" s="115">
        <v>3</v>
      </c>
      <c r="K4" s="115">
        <v>4</v>
      </c>
      <c r="L4" s="115">
        <v>5</v>
      </c>
      <c r="M4" s="115">
        <v>6</v>
      </c>
      <c r="N4" s="115">
        <v>7</v>
      </c>
      <c r="O4" s="115">
        <v>8</v>
      </c>
      <c r="P4" s="115">
        <v>9</v>
      </c>
      <c r="Q4" s="116">
        <v>10</v>
      </c>
      <c r="T4" s="151" t="str">
        <f xml:space="preserve"> EING!B3</f>
        <v>Rundungsstellen</v>
      </c>
      <c r="U4" s="136"/>
      <c r="V4" s="136"/>
      <c r="W4" s="135">
        <v>2</v>
      </c>
      <c r="X4" s="135">
        <v>2</v>
      </c>
      <c r="Y4" s="135">
        <v>2</v>
      </c>
      <c r="Z4" s="136"/>
      <c r="AA4" s="135">
        <v>2</v>
      </c>
      <c r="AB4" s="152">
        <f xml:space="preserve"> $Y$4</f>
        <v>2</v>
      </c>
      <c r="AC4" s="136"/>
      <c r="AD4" s="135">
        <v>2</v>
      </c>
      <c r="AE4" s="152">
        <f xml:space="preserve"> $Y$4</f>
        <v>2</v>
      </c>
      <c r="AF4" s="136"/>
      <c r="AG4" s="135">
        <v>0</v>
      </c>
      <c r="AH4" s="135">
        <v>2</v>
      </c>
      <c r="AI4" s="152">
        <f xml:space="preserve"> $Y$4</f>
        <v>2</v>
      </c>
    </row>
    <row r="5" spans="2:66" x14ac:dyDescent="0.15">
      <c r="B5" s="97" t="s">
        <v>212</v>
      </c>
      <c r="C5" s="96"/>
      <c r="D5" s="96"/>
      <c r="E5" s="96"/>
      <c r="F5" s="96"/>
      <c r="G5" s="96"/>
      <c r="H5" s="101">
        <f xml:space="preserve"> IF(  H4&lt;=SUM(sx!$F$12:$G$12),  0.5,  1  )</f>
        <v>0.5</v>
      </c>
      <c r="I5" s="101">
        <f xml:space="preserve"> IF(  I4&lt;=SUM(sx!$F$12:$G$12),  0.5,  1  )</f>
        <v>1</v>
      </c>
      <c r="J5" s="101">
        <f xml:space="preserve"> IF(  J4&lt;=SUM(sx!$F$12:$G$12),  0.5,  1  )</f>
        <v>1</v>
      </c>
      <c r="K5" s="101">
        <f xml:space="preserve"> IF(  K4&lt;=SUM(sx!$F$12:$G$12),  0.5,  1  )</f>
        <v>1</v>
      </c>
      <c r="L5" s="101">
        <f xml:space="preserve"> IF(  L4&lt;=SUM(sx!$F$12:$G$12),  0.5,  1  )</f>
        <v>1</v>
      </c>
      <c r="M5" s="101">
        <f xml:space="preserve"> IF(  M4&lt;=SUM(sx!$F$12:$G$12),  0.5,  1  )</f>
        <v>1</v>
      </c>
      <c r="N5" s="101">
        <f xml:space="preserve"> IF(  N4&lt;=SUM(sx!$F$12:$G$12),  0.5,  1  )</f>
        <v>1</v>
      </c>
      <c r="O5" s="101">
        <f xml:space="preserve"> IF(  O4&lt;=SUM(sx!$F$12:$G$12),  0.5,  1  )</f>
        <v>1</v>
      </c>
      <c r="P5" s="101">
        <f xml:space="preserve"> IF(  P4&lt;=SUM(sx!$F$12:$G$12),  0.5,  1  )</f>
        <v>1</v>
      </c>
      <c r="Q5" s="117">
        <f xml:space="preserve"> IF(  Q4&lt;=SUM(sx!$F$12:$G$12),  0.5,  1  )</f>
        <v>1</v>
      </c>
      <c r="T5" s="112"/>
      <c r="U5" s="128"/>
      <c r="V5" s="161" t="str">
        <f xml:space="preserve"> rmW_</f>
        <v>rm. W.</v>
      </c>
      <c r="W5" s="895" t="str">
        <f xml:space="preserve"> beobW</f>
        <v>beobachtete Werte</v>
      </c>
      <c r="X5" s="895"/>
      <c r="Y5" s="895"/>
      <c r="Z5" s="896" t="str">
        <f xml:space="preserve"> beobW</f>
        <v>beobachtete Werte</v>
      </c>
      <c r="AA5" s="895"/>
      <c r="AB5" s="897"/>
      <c r="AC5" s="896" t="str">
        <f xml:space="preserve"> beobW</f>
        <v>beobachtete Werte</v>
      </c>
      <c r="AD5" s="895"/>
      <c r="AE5" s="897"/>
      <c r="AF5" s="896" t="str">
        <f xml:space="preserve"> beobW</f>
        <v>beobachtete Werte</v>
      </c>
      <c r="AG5" s="895"/>
      <c r="AH5" s="895"/>
      <c r="AI5" s="897"/>
    </row>
    <row r="6" spans="2:66" ht="12.5" customHeight="1" x14ac:dyDescent="0.15">
      <c r="B6" s="112" t="s">
        <v>211</v>
      </c>
      <c r="C6" s="113"/>
      <c r="D6" s="113"/>
      <c r="E6" s="113" t="s">
        <v>222</v>
      </c>
      <c r="F6" s="113"/>
      <c r="G6" s="113"/>
      <c r="H6" s="122">
        <f xml:space="preserve"> COUNTA( H8:H13 ) - 1</f>
        <v>3</v>
      </c>
      <c r="I6" s="122">
        <f t="shared" ref="I6:Q6" si="0" xml:space="preserve"> COUNTA( I8:I13 ) - 1</f>
        <v>2</v>
      </c>
      <c r="J6" s="122">
        <f t="shared" si="0"/>
        <v>1</v>
      </c>
      <c r="K6" s="122">
        <f t="shared" si="0"/>
        <v>5</v>
      </c>
      <c r="L6" s="122">
        <f t="shared" si="0"/>
        <v>1</v>
      </c>
      <c r="M6" s="122">
        <f t="shared" si="0"/>
        <v>0</v>
      </c>
      <c r="N6" s="122">
        <f t="shared" si="0"/>
        <v>0</v>
      </c>
      <c r="O6" s="122">
        <f t="shared" si="0"/>
        <v>0</v>
      </c>
      <c r="P6" s="122">
        <f t="shared" si="0"/>
        <v>0</v>
      </c>
      <c r="Q6" s="123">
        <f t="shared" si="0"/>
        <v>0</v>
      </c>
      <c r="T6" s="97"/>
      <c r="U6" s="99"/>
      <c r="V6" s="99"/>
      <c r="Z6" s="97"/>
      <c r="AA6" s="96"/>
      <c r="AB6" s="99"/>
      <c r="AC6" s="97"/>
      <c r="AD6" s="96"/>
      <c r="AE6" s="99"/>
      <c r="AF6" s="905" t="str">
        <f xml:space="preserve"> SUBSTITUTE( AE21, "τ", "t1" )</f>
        <v>S^ ^t1 ^(t1+1,m) _x</v>
      </c>
      <c r="AG6" s="130" t="s">
        <v>208</v>
      </c>
      <c r="AH6" s="96"/>
      <c r="AI6" s="99"/>
      <c r="AW6" s="198" t="str">
        <f xml:space="preserve"> EING!$B$3</f>
        <v>Rundungsstellen</v>
      </c>
      <c r="AX6" s="198"/>
      <c r="AY6" s="198"/>
      <c r="AZ6" s="198"/>
      <c r="BA6" s="198"/>
      <c r="BB6" s="135">
        <v>2</v>
      </c>
      <c r="BC6" s="135">
        <v>2</v>
      </c>
      <c r="BF6" s="136" t="str">
        <f xml:space="preserve"> AW6</f>
        <v>Rundungsstellen</v>
      </c>
      <c r="BG6" s="136"/>
      <c r="BH6" s="136"/>
      <c r="BI6" s="135">
        <v>2</v>
      </c>
      <c r="BJ6" s="135">
        <v>2</v>
      </c>
      <c r="BK6" s="135">
        <v>2</v>
      </c>
      <c r="BL6" s="135">
        <v>2</v>
      </c>
      <c r="BM6" s="135">
        <v>2</v>
      </c>
      <c r="BN6" s="135">
        <v>2</v>
      </c>
    </row>
    <row r="7" spans="2:66" ht="13" customHeight="1" x14ac:dyDescent="0.15">
      <c r="B7" s="97" t="s">
        <v>213</v>
      </c>
      <c r="C7" s="96"/>
      <c r="D7" s="96"/>
      <c r="E7" s="96" t="s">
        <v>224</v>
      </c>
      <c r="F7" s="98" t="s">
        <v>132</v>
      </c>
      <c r="G7" s="124" t="s">
        <v>200</v>
      </c>
      <c r="H7" s="96"/>
      <c r="I7" s="96"/>
      <c r="J7" s="96"/>
      <c r="K7" s="96"/>
      <c r="L7" s="96"/>
      <c r="M7" s="96"/>
      <c r="N7" s="96"/>
      <c r="O7" s="96"/>
      <c r="P7" s="96"/>
      <c r="Q7" s="99"/>
      <c r="T7" s="118" t="str">
        <f xml:space="preserve"> EING!B7</f>
        <v>Alter</v>
      </c>
      <c r="U7" s="99"/>
      <c r="V7" s="99"/>
      <c r="W7" s="908" t="s">
        <v>204</v>
      </c>
      <c r="X7" s="908"/>
      <c r="Y7" s="908"/>
      <c r="Z7" s="909" t="s">
        <v>203</v>
      </c>
      <c r="AA7" s="908"/>
      <c r="AB7" s="910"/>
      <c r="AC7" s="909" t="s">
        <v>202</v>
      </c>
      <c r="AD7" s="908"/>
      <c r="AE7" s="910"/>
      <c r="AF7" s="905"/>
      <c r="AG7" s="156">
        <f xml:space="preserve"> AG30</f>
        <v>0.9</v>
      </c>
      <c r="AH7" s="155"/>
      <c r="AI7" s="157"/>
      <c r="AW7" s="183" t="str">
        <f xml:space="preserve"> T7</f>
        <v>Alter</v>
      </c>
      <c r="AX7" s="109"/>
      <c r="AY7" s="887" t="str">
        <f xml:space="preserve"> beobW_</f>
        <v>beob. W</v>
      </c>
      <c r="AZ7" s="888"/>
      <c r="BA7" s="889"/>
      <c r="BB7" s="81" t="str">
        <f xml:space="preserve"> effW_</f>
        <v>eff. W.</v>
      </c>
      <c r="BC7" s="204" t="str">
        <f xml:space="preserve"> rmW_</f>
        <v>rm. W.</v>
      </c>
      <c r="BF7" s="236" t="str">
        <f xml:space="preserve"> AW7</f>
        <v>Alter</v>
      </c>
      <c r="BG7" s="113"/>
      <c r="BH7" s="887" t="str">
        <f xml:space="preserve"> beobW_</f>
        <v>beob. W</v>
      </c>
      <c r="BI7" s="927"/>
      <c r="BJ7" s="928"/>
      <c r="BK7" s="911" t="str">
        <f xml:space="preserve"> effW_</f>
        <v>eff. W.</v>
      </c>
      <c r="BL7" s="886"/>
      <c r="BM7" s="890" t="str">
        <f xml:space="preserve"> rmW_</f>
        <v>rm. W.</v>
      </c>
      <c r="BN7" s="892"/>
    </row>
    <row r="8" spans="2:66" x14ac:dyDescent="0.15">
      <c r="B8" s="97"/>
      <c r="C8" s="96"/>
      <c r="D8" s="96"/>
      <c r="E8" s="96"/>
      <c r="F8" s="96">
        <v>0</v>
      </c>
      <c r="G8" s="96"/>
      <c r="H8" s="185">
        <v>0</v>
      </c>
      <c r="I8" s="185">
        <v>0</v>
      </c>
      <c r="J8" s="185">
        <v>0</v>
      </c>
      <c r="K8" s="185">
        <v>0</v>
      </c>
      <c r="L8" s="185">
        <v>0</v>
      </c>
      <c r="M8" s="185">
        <v>0</v>
      </c>
      <c r="N8" s="185">
        <v>0</v>
      </c>
      <c r="O8" s="185">
        <v>0</v>
      </c>
      <c r="P8" s="185">
        <v>0</v>
      </c>
      <c r="Q8" s="186">
        <v>0</v>
      </c>
      <c r="T8" s="126" t="str">
        <f xml:space="preserve"> EING!B8</f>
        <v>x</v>
      </c>
      <c r="U8" s="133" t="str">
        <f xml:space="preserve"> EING!C8</f>
        <v>x_spez.</v>
      </c>
      <c r="V8" s="133" t="s">
        <v>4</v>
      </c>
      <c r="W8" s="130" t="s">
        <v>146</v>
      </c>
      <c r="X8" s="130" t="s">
        <v>125</v>
      </c>
      <c r="Y8" s="130" t="s">
        <v>140</v>
      </c>
      <c r="Z8" s="126" t="str">
        <f t="shared" ref="Z8:AE8" si="1" xml:space="preserve"> W8</f>
        <v>S^_x</v>
      </c>
      <c r="AA8" s="130" t="str">
        <f t="shared" si="1"/>
        <v>L^_x</v>
      </c>
      <c r="AB8" s="133" t="str">
        <f t="shared" si="1"/>
        <v>K^_x</v>
      </c>
      <c r="AC8" s="126" t="str">
        <f t="shared" si="1"/>
        <v>S^_x</v>
      </c>
      <c r="AD8" s="130" t="str">
        <f t="shared" si="1"/>
        <v>L^_x</v>
      </c>
      <c r="AE8" s="133" t="str">
        <f t="shared" si="1"/>
        <v>K^_x</v>
      </c>
      <c r="AF8" s="906"/>
      <c r="AG8" s="130" t="str">
        <f xml:space="preserve"> AC8</f>
        <v>S^_x</v>
      </c>
      <c r="AH8" s="130" t="str">
        <f xml:space="preserve"> AD8</f>
        <v>L^_x</v>
      </c>
      <c r="AI8" s="133" t="str">
        <f xml:space="preserve"> AE8</f>
        <v>K^_x</v>
      </c>
      <c r="AW8" s="165" t="str">
        <f xml:space="preserve"> T8</f>
        <v>x</v>
      </c>
      <c r="AX8" s="167" t="str">
        <f xml:space="preserve"> U8</f>
        <v>x_spez.</v>
      </c>
      <c r="AY8" s="199" t="str">
        <f xml:space="preserve"> AG8</f>
        <v>S^_x</v>
      </c>
      <c r="AZ8" s="182" t="str">
        <f xml:space="preserve"> AH8</f>
        <v>L^_x</v>
      </c>
      <c r="BA8" s="166" t="str">
        <f xml:space="preserve"> AI8</f>
        <v>K^_x</v>
      </c>
      <c r="BB8" s="159" t="s">
        <v>145</v>
      </c>
      <c r="BC8" s="205" t="s">
        <v>5</v>
      </c>
      <c r="BF8" s="236" t="str">
        <f xml:space="preserve"> AW8</f>
        <v>x</v>
      </c>
      <c r="BG8" s="243" t="str">
        <f xml:space="preserve"> AX8</f>
        <v>x_spez.</v>
      </c>
      <c r="BH8" s="239" t="str">
        <f xml:space="preserve"> AZ8</f>
        <v>L^_x</v>
      </c>
      <c r="BI8" s="237" t="s">
        <v>217</v>
      </c>
      <c r="BJ8" s="238" t="s">
        <v>140</v>
      </c>
      <c r="BK8" s="129" t="s">
        <v>216</v>
      </c>
      <c r="BL8" s="125" t="s">
        <v>145</v>
      </c>
      <c r="BM8" s="129" t="str">
        <f xml:space="preserve"> V8</f>
        <v>k_x</v>
      </c>
      <c r="BN8" s="238" t="str">
        <f xml:space="preserve"> BC8</f>
        <v>K_x</v>
      </c>
    </row>
    <row r="9" spans="2:66" x14ac:dyDescent="0.15">
      <c r="B9" s="97"/>
      <c r="C9" s="96"/>
      <c r="D9" s="96"/>
      <c r="E9" s="96"/>
      <c r="F9" s="96">
        <v>1</v>
      </c>
      <c r="G9" s="96"/>
      <c r="H9" s="185">
        <v>10</v>
      </c>
      <c r="I9" s="185">
        <v>5</v>
      </c>
      <c r="J9" s="185">
        <v>4</v>
      </c>
      <c r="K9" s="185">
        <v>25</v>
      </c>
      <c r="L9" s="187">
        <v>9</v>
      </c>
      <c r="M9" s="185"/>
      <c r="N9" s="185"/>
      <c r="O9" s="185"/>
      <c r="P9" s="185"/>
      <c r="Q9" s="186"/>
      <c r="T9" s="118"/>
      <c r="U9" s="99"/>
      <c r="V9" s="99"/>
      <c r="W9" s="96"/>
      <c r="X9" s="96"/>
      <c r="Y9" s="99"/>
      <c r="Z9" s="97"/>
      <c r="AA9" s="96"/>
      <c r="AB9" s="99"/>
      <c r="AC9" s="97"/>
      <c r="AD9" s="96"/>
      <c r="AE9" s="99"/>
      <c r="AF9" s="97"/>
      <c r="AG9" s="96"/>
      <c r="AH9" s="96"/>
      <c r="AI9" s="99"/>
      <c r="AW9" s="97"/>
      <c r="AX9" s="99"/>
      <c r="AY9" s="97"/>
      <c r="AZ9" s="96"/>
      <c r="BA9" s="96"/>
      <c r="BB9" s="107"/>
      <c r="BC9" s="145"/>
      <c r="BF9" s="97"/>
      <c r="BG9" s="99"/>
      <c r="BH9" s="97"/>
      <c r="BI9" s="96"/>
      <c r="BJ9" s="99"/>
      <c r="BK9" s="97"/>
      <c r="BL9" s="99"/>
      <c r="BM9" s="97"/>
      <c r="BN9" s="99"/>
    </row>
    <row r="10" spans="2:66" x14ac:dyDescent="0.15">
      <c r="B10" s="97"/>
      <c r="C10" s="96"/>
      <c r="D10" s="96"/>
      <c r="E10" s="96"/>
      <c r="F10" s="96">
        <v>2</v>
      </c>
      <c r="G10" s="96"/>
      <c r="H10" s="185">
        <v>4</v>
      </c>
      <c r="I10" s="185">
        <v>15</v>
      </c>
      <c r="J10" s="185"/>
      <c r="K10" s="185">
        <v>2</v>
      </c>
      <c r="L10" s="185"/>
      <c r="M10" s="185"/>
      <c r="N10" s="185"/>
      <c r="O10" s="185"/>
      <c r="P10" s="185"/>
      <c r="Q10" s="186"/>
      <c r="T10" s="118">
        <f xml:space="preserve"> EING!B10</f>
        <v>1</v>
      </c>
      <c r="U10" s="163" t="str">
        <f xml:space="preserve"> EING!C10</f>
        <v>x_α</v>
      </c>
      <c r="V10" s="162">
        <v>1</v>
      </c>
      <c r="W10" s="137">
        <v>800</v>
      </c>
      <c r="X10" s="138">
        <v>82.3</v>
      </c>
      <c r="Y10" s="103">
        <f xml:space="preserve"> IF( X10=0, 0,  ROUND( W10 / X10, Y$4 )   )</f>
        <v>9.7200000000000006</v>
      </c>
      <c r="Z10" s="153">
        <v>900</v>
      </c>
      <c r="AA10" s="138">
        <v>87.3</v>
      </c>
      <c r="AB10" s="103">
        <f xml:space="preserve"> IF( AA10=0, 0,  ROUND( Z10 / AA10, AB$4 )   )</f>
        <v>10.31</v>
      </c>
      <c r="AC10" s="153">
        <v>900</v>
      </c>
      <c r="AD10" s="138">
        <v>89.3</v>
      </c>
      <c r="AE10" s="103">
        <f xml:space="preserve"> IF( AD10=0, 0,  ROUND( AC10 / AD10, AE$4 )   )</f>
        <v>10.08</v>
      </c>
      <c r="AF10" s="158">
        <v>810</v>
      </c>
      <c r="AG10" s="100">
        <f xml:space="preserve"> ROUND( AF10 / $AG$7, AG$4 )</f>
        <v>900</v>
      </c>
      <c r="AH10" s="102">
        <f xml:space="preserve"> ROUND(  sx!E10 - SUM( sx!F10:G10 ) / 2,  AH$4  )</f>
        <v>93.5</v>
      </c>
      <c r="AI10" s="103">
        <f xml:space="preserve"> IF( AH10=0, 0,  ROUND( AG10 / AH10, AI$4 )   )</f>
        <v>9.6300000000000008</v>
      </c>
      <c r="AW10" s="164">
        <f xml:space="preserve"> T10</f>
        <v>1</v>
      </c>
      <c r="AX10" s="168" t="str">
        <f xml:space="preserve"> U10</f>
        <v>x_α</v>
      </c>
      <c r="AY10" s="200">
        <f t="shared" ref="AY10:BA14" si="2" xml:space="preserve"> AG10</f>
        <v>900</v>
      </c>
      <c r="AZ10" s="101">
        <f t="shared" si="2"/>
        <v>93.5</v>
      </c>
      <c r="BA10" s="102">
        <f t="shared" si="2"/>
        <v>9.6300000000000008</v>
      </c>
      <c r="BB10" s="160">
        <f xml:space="preserve"> ROUND( $V10 * BB$16, BB$6 )</f>
        <v>9.8800000000000008</v>
      </c>
      <c r="BC10" s="189">
        <f xml:space="preserve"> ROUND( V10 * BC$16, AW$4 )</f>
        <v>10</v>
      </c>
      <c r="BF10" s="164">
        <f xml:space="preserve"> AW10</f>
        <v>1</v>
      </c>
      <c r="BG10" s="168" t="str">
        <f xml:space="preserve"> AX10</f>
        <v>x_α</v>
      </c>
      <c r="BH10" s="240">
        <f xml:space="preserve"> AZ10</f>
        <v>93.5</v>
      </c>
      <c r="BI10" s="102">
        <f xml:space="preserve"> IF(  BI$15=0, 1, ROUND( BA10 / BI$15, BI$6 ) )</f>
        <v>0.97</v>
      </c>
      <c r="BJ10" s="103">
        <f xml:space="preserve"> IF(  BJ$15=0, 1, ROUND( BI10 * BJ$15, BJ$6 ) )</f>
        <v>9.64</v>
      </c>
      <c r="BK10" s="160">
        <f xml:space="preserve"> IF(  BK$15=0, 1, ROUND( BB10 / BK$15, BK$6 ) )</f>
        <v>1</v>
      </c>
      <c r="BL10" s="103">
        <f xml:space="preserve"> IF(  BL$15=0, 1, ROUND( BK10 * BL$15, BL$6 ) )</f>
        <v>9.8800000000000008</v>
      </c>
      <c r="BM10" s="160">
        <f xml:space="preserve"> V10</f>
        <v>1</v>
      </c>
      <c r="BN10" s="103">
        <f xml:space="preserve"> IF(  BN$15=0, 1, ROUND( BM10 * BN$15, BN$6 ) )</f>
        <v>10</v>
      </c>
    </row>
    <row r="11" spans="2:66" x14ac:dyDescent="0.15">
      <c r="B11" s="97"/>
      <c r="C11" s="96"/>
      <c r="D11" s="96"/>
      <c r="E11" s="96"/>
      <c r="F11" s="96">
        <v>3</v>
      </c>
      <c r="G11" s="96"/>
      <c r="H11" s="185">
        <v>6</v>
      </c>
      <c r="I11" s="185"/>
      <c r="J11" s="185"/>
      <c r="K11" s="185">
        <v>3</v>
      </c>
      <c r="L11" s="185"/>
      <c r="M11" s="185"/>
      <c r="N11" s="185"/>
      <c r="O11" s="185"/>
      <c r="P11" s="185"/>
      <c r="Q11" s="186"/>
      <c r="T11" s="118">
        <f xml:space="preserve"> EING!B11</f>
        <v>2</v>
      </c>
      <c r="U11" s="163" t="str">
        <f xml:space="preserve"> EING!C11</f>
        <v>x_N</v>
      </c>
      <c r="V11" s="162">
        <v>1</v>
      </c>
      <c r="W11" s="137">
        <v>800</v>
      </c>
      <c r="X11" s="138">
        <v>84.2</v>
      </c>
      <c r="Y11" s="103">
        <f xml:space="preserve"> IF( X11=0, 0,  ROUND( W11 / X11, Y$4 )   )</f>
        <v>9.5</v>
      </c>
      <c r="Z11" s="153">
        <v>1000</v>
      </c>
      <c r="AA11" s="138">
        <v>95</v>
      </c>
      <c r="AB11" s="103">
        <f xml:space="preserve"> IF( AA11=0, 0,  ROUND( Z11 / AA11, AB$4 )   )</f>
        <v>10.53</v>
      </c>
      <c r="AC11" s="153">
        <v>900</v>
      </c>
      <c r="AD11" s="138">
        <v>92.1</v>
      </c>
      <c r="AE11" s="103">
        <f xml:space="preserve"> IF( AD11=0, 0,  ROUND( AC11 / AD11, AE$4 )   )</f>
        <v>9.77</v>
      </c>
      <c r="AF11" s="158">
        <v>810</v>
      </c>
      <c r="AG11" s="100">
        <f xml:space="preserve"> ROUND( AF11 / $AG$7, AG$4 )</f>
        <v>900</v>
      </c>
      <c r="AH11" s="102">
        <f xml:space="preserve"> ROUND(  sx!E11 - SUM( sx!F11:G11 ) / 2,  AH$4  )</f>
        <v>90.5</v>
      </c>
      <c r="AI11" s="103">
        <f xml:space="preserve"> IF( AH11=0, 0,  ROUND( AG11 / AH11, AI$4 )   )</f>
        <v>9.94</v>
      </c>
      <c r="AW11" s="164">
        <f xml:space="preserve"> T11</f>
        <v>2</v>
      </c>
      <c r="AX11" s="168" t="str">
        <f xml:space="preserve"> U11</f>
        <v>x_N</v>
      </c>
      <c r="AY11" s="200">
        <f t="shared" si="2"/>
        <v>900</v>
      </c>
      <c r="AZ11" s="101">
        <f t="shared" si="2"/>
        <v>90.5</v>
      </c>
      <c r="BA11" s="102">
        <f t="shared" si="2"/>
        <v>9.94</v>
      </c>
      <c r="BB11" s="160">
        <f xml:space="preserve"> ROUND( $V11 * BB$16, BB$6 )</f>
        <v>9.8800000000000008</v>
      </c>
      <c r="BC11" s="189">
        <f xml:space="preserve"> ROUND( V11 * BC$16, AW$4 )</f>
        <v>10</v>
      </c>
      <c r="BF11" s="164">
        <f xml:space="preserve"> AW11</f>
        <v>2</v>
      </c>
      <c r="BG11" s="168" t="str">
        <f xml:space="preserve"> AX11</f>
        <v>x_N</v>
      </c>
      <c r="BH11" s="240">
        <f xml:space="preserve"> AZ11</f>
        <v>90.5</v>
      </c>
      <c r="BI11" s="102">
        <f xml:space="preserve"> IF(  BI$15=0, 1, ROUND( BA11 / BI$15, BI$6 ) )</f>
        <v>1</v>
      </c>
      <c r="BJ11" s="103">
        <f xml:space="preserve"> IF(  BJ$15=0, 1, ROUND( BI11 * BJ$15, BJ$6 ) )</f>
        <v>9.94</v>
      </c>
      <c r="BK11" s="160">
        <f xml:space="preserve"> IF(  BK$15=0, 1, ROUND( BB11 / BK$15, BK$6 ) )</f>
        <v>1</v>
      </c>
      <c r="BL11" s="103">
        <f xml:space="preserve"> IF(  BL$15=0, 1, ROUND( BK11 * BL$15, BL$6 ) )</f>
        <v>9.8800000000000008</v>
      </c>
      <c r="BM11" s="160">
        <f xml:space="preserve"> V11</f>
        <v>1</v>
      </c>
      <c r="BN11" s="103">
        <f xml:space="preserve"> IF(  BN$15=0, 1, ROUND( BM11 * BN$15, BN$6 ) )</f>
        <v>10</v>
      </c>
    </row>
    <row r="12" spans="2:66" x14ac:dyDescent="0.15">
      <c r="B12" s="97"/>
      <c r="C12" s="96"/>
      <c r="D12" s="96"/>
      <c r="E12" s="96"/>
      <c r="F12" s="96">
        <v>4</v>
      </c>
      <c r="G12" s="96"/>
      <c r="H12" s="185"/>
      <c r="I12" s="185"/>
      <c r="J12" s="185"/>
      <c r="K12" s="185">
        <v>2</v>
      </c>
      <c r="L12" s="185"/>
      <c r="M12" s="185"/>
      <c r="N12" s="185"/>
      <c r="O12" s="185"/>
      <c r="P12" s="185"/>
      <c r="Q12" s="186"/>
      <c r="T12" s="118">
        <f xml:space="preserve"> EING!B12</f>
        <v>3</v>
      </c>
      <c r="U12" s="99"/>
      <c r="V12" s="162">
        <v>1.5</v>
      </c>
      <c r="W12" s="137">
        <v>400</v>
      </c>
      <c r="X12" s="138">
        <v>29.6</v>
      </c>
      <c r="Y12" s="103">
        <f xml:space="preserve"> IF( X12=0, 0,  ROUND( W12 / X12, Y$4 )   )</f>
        <v>13.51</v>
      </c>
      <c r="Z12" s="153">
        <v>400</v>
      </c>
      <c r="AA12" s="138">
        <v>32.6</v>
      </c>
      <c r="AB12" s="103">
        <f xml:space="preserve"> IF( AA12=0, 0,  ROUND( Z12 / AA12, AB$4 )   )</f>
        <v>12.27</v>
      </c>
      <c r="AC12" s="153">
        <v>600</v>
      </c>
      <c r="AD12" s="138">
        <v>41.2</v>
      </c>
      <c r="AE12" s="103">
        <f xml:space="preserve"> IF( AD12=0, 0,  ROUND( AC12 / AD12, AE$4 )   )</f>
        <v>14.56</v>
      </c>
      <c r="AF12" s="154">
        <f xml:space="preserve"> G15</f>
        <v>90</v>
      </c>
      <c r="AG12" s="100">
        <f xml:space="preserve"> ROUND( AF12 / $AG$7, AG$4 )</f>
        <v>100</v>
      </c>
      <c r="AH12" s="102">
        <f xml:space="preserve"> ROUND(  sx!E12 - SUM( sx!F12:G12 ) / 2,  AH$4  )</f>
        <v>9.5</v>
      </c>
      <c r="AI12" s="103">
        <f xml:space="preserve"> IF( AH12=0, 0,  ROUND( AG12 / AH12, AI$4 )   )</f>
        <v>10.53</v>
      </c>
      <c r="AW12" s="164">
        <f xml:space="preserve"> T12</f>
        <v>3</v>
      </c>
      <c r="AX12" s="168"/>
      <c r="AY12" s="200">
        <f t="shared" si="2"/>
        <v>100</v>
      </c>
      <c r="AZ12" s="101">
        <f t="shared" si="2"/>
        <v>9.5</v>
      </c>
      <c r="BA12" s="102">
        <f t="shared" si="2"/>
        <v>10.53</v>
      </c>
      <c r="BB12" s="160">
        <f xml:space="preserve"> ROUND( $V12 * BB$16, BB$6 )</f>
        <v>14.82</v>
      </c>
      <c r="BC12" s="189">
        <f xml:space="preserve"> ROUND( V12 * BC$16, AW$4 )</f>
        <v>15</v>
      </c>
      <c r="BF12" s="164">
        <f xml:space="preserve"> AW12</f>
        <v>3</v>
      </c>
      <c r="BG12" s="168"/>
      <c r="BH12" s="240">
        <f xml:space="preserve"> AZ12</f>
        <v>9.5</v>
      </c>
      <c r="BI12" s="102">
        <f xml:space="preserve"> IF(  BI$15=0, 1, ROUND( BA12 / BI$15, BI$6 ) )</f>
        <v>1.06</v>
      </c>
      <c r="BJ12" s="103">
        <f xml:space="preserve"> IF(  BJ$15=0, 1, ROUND( BI12 * BJ$15, BJ$6 ) )</f>
        <v>10.54</v>
      </c>
      <c r="BK12" s="160">
        <f xml:space="preserve"> IF(  BK$15=0, 1, ROUND( BB12 / BK$15, BK$6 ) )</f>
        <v>1.5</v>
      </c>
      <c r="BL12" s="103">
        <f xml:space="preserve"> IF(  BL$15=0, 1, ROUND( BK12 * BL$15, BL$6 ) )</f>
        <v>14.82</v>
      </c>
      <c r="BM12" s="160">
        <f xml:space="preserve"> V12</f>
        <v>1.5</v>
      </c>
      <c r="BN12" s="103">
        <f xml:space="preserve"> IF(  BN$15=0, 1, ROUND( BM12 * BN$15, BN$6 ) )</f>
        <v>15</v>
      </c>
    </row>
    <row r="13" spans="2:66" x14ac:dyDescent="0.15">
      <c r="B13" s="97"/>
      <c r="C13" s="96"/>
      <c r="D13" s="96"/>
      <c r="E13" s="96"/>
      <c r="F13" s="96">
        <v>5</v>
      </c>
      <c r="G13" s="96"/>
      <c r="H13" s="185"/>
      <c r="I13" s="185"/>
      <c r="J13" s="185"/>
      <c r="K13" s="185">
        <v>5</v>
      </c>
      <c r="L13" s="185"/>
      <c r="M13" s="185"/>
      <c r="N13" s="185"/>
      <c r="O13" s="185"/>
      <c r="P13" s="185"/>
      <c r="Q13" s="186"/>
      <c r="T13" s="118">
        <f xml:space="preserve"> EING!B13</f>
        <v>4</v>
      </c>
      <c r="U13" s="99"/>
      <c r="V13" s="162">
        <v>2.5</v>
      </c>
      <c r="W13" s="137">
        <v>1800</v>
      </c>
      <c r="X13" s="138">
        <v>76.400000000000006</v>
      </c>
      <c r="Y13" s="103">
        <f xml:space="preserve"> IF( X13=0, 0,  ROUND( W13 / X13, Y$4 )   )</f>
        <v>23.56</v>
      </c>
      <c r="Z13" s="153">
        <v>1900</v>
      </c>
      <c r="AA13" s="138">
        <v>76.400000000000006</v>
      </c>
      <c r="AB13" s="103">
        <f xml:space="preserve"> IF( AA13=0, 0,  ROUND( Z13 / AA13, AB$4 )   )</f>
        <v>24.87</v>
      </c>
      <c r="AC13" s="153">
        <v>2100</v>
      </c>
      <c r="AD13" s="138">
        <v>86.4</v>
      </c>
      <c r="AE13" s="103">
        <f xml:space="preserve"> IF( AD13=0, 0,  ROUND( AC13 / AD13, AE$4 )   )</f>
        <v>24.31</v>
      </c>
      <c r="AF13" s="158">
        <v>2000</v>
      </c>
      <c r="AG13" s="100">
        <f xml:space="preserve"> ROUND( AF13 / $AG$7, AG$4 )</f>
        <v>2222</v>
      </c>
      <c r="AH13" s="102">
        <f xml:space="preserve"> ROUND(  sx!E13 - SUM( sx!F13:G13 ) / 2,  AH$4  )</f>
        <v>81</v>
      </c>
      <c r="AI13" s="103">
        <f xml:space="preserve"> IF( AH13=0, 0,  ROUND( AG13 / AH13, AI$4 )   )</f>
        <v>27.43</v>
      </c>
      <c r="AW13" s="164">
        <f xml:space="preserve"> T13</f>
        <v>4</v>
      </c>
      <c r="AX13" s="168"/>
      <c r="AY13" s="200">
        <f t="shared" si="2"/>
        <v>2222</v>
      </c>
      <c r="AZ13" s="101">
        <f t="shared" si="2"/>
        <v>81</v>
      </c>
      <c r="BA13" s="102">
        <f t="shared" si="2"/>
        <v>27.43</v>
      </c>
      <c r="BB13" s="160">
        <f xml:space="preserve"> ROUND( $V13 * BB$16, BB$6 )</f>
        <v>24.7</v>
      </c>
      <c r="BC13" s="189">
        <f xml:space="preserve"> ROUND( V13 * BC$16, AW$4 )</f>
        <v>25</v>
      </c>
      <c r="BF13" s="164">
        <f xml:space="preserve"> AW13</f>
        <v>4</v>
      </c>
      <c r="BG13" s="168"/>
      <c r="BH13" s="240">
        <f xml:space="preserve"> AZ13</f>
        <v>81</v>
      </c>
      <c r="BI13" s="102">
        <f xml:space="preserve"> IF(  BI$15=0, 1, ROUND( BA13 / BI$15, BI$6 ) )</f>
        <v>2.76</v>
      </c>
      <c r="BJ13" s="103">
        <f xml:space="preserve"> IF(  BJ$15=0, 1, ROUND( BI13 * BJ$15, BJ$6 ) )</f>
        <v>27.43</v>
      </c>
      <c r="BK13" s="160">
        <f xml:space="preserve"> IF(  BK$15=0, 1, ROUND( BB13 / BK$15, BK$6 ) )</f>
        <v>2.5</v>
      </c>
      <c r="BL13" s="103">
        <f xml:space="preserve"> IF(  BL$15=0, 1, ROUND( BK13 * BL$15, BL$6 ) )</f>
        <v>24.7</v>
      </c>
      <c r="BM13" s="160">
        <f xml:space="preserve"> V13</f>
        <v>2.5</v>
      </c>
      <c r="BN13" s="103">
        <f xml:space="preserve"> IF(  BN$15=0, 1, ROUND( BM13 * BN$15, BN$6 ) )</f>
        <v>25</v>
      </c>
    </row>
    <row r="14" spans="2:66" x14ac:dyDescent="0.15">
      <c r="B14" s="107" t="s">
        <v>210</v>
      </c>
      <c r="C14" s="108"/>
      <c r="D14" s="108"/>
      <c r="E14" s="108" t="s">
        <v>225</v>
      </c>
      <c r="F14" s="108" t="s">
        <v>229</v>
      </c>
      <c r="G14" s="108"/>
      <c r="H14" s="108">
        <f t="shared" ref="H14:Q14" si="3" xml:space="preserve"> SUM( H8:H13 )</f>
        <v>20</v>
      </c>
      <c r="I14" s="108">
        <f t="shared" si="3"/>
        <v>20</v>
      </c>
      <c r="J14" s="108">
        <f t="shared" si="3"/>
        <v>4</v>
      </c>
      <c r="K14" s="108">
        <f t="shared" si="3"/>
        <v>37</v>
      </c>
      <c r="L14" s="108">
        <f t="shared" si="3"/>
        <v>9</v>
      </c>
      <c r="M14" s="108">
        <f t="shared" si="3"/>
        <v>0</v>
      </c>
      <c r="N14" s="108">
        <f t="shared" si="3"/>
        <v>0</v>
      </c>
      <c r="O14" s="108">
        <f t="shared" si="3"/>
        <v>0</v>
      </c>
      <c r="P14" s="108">
        <f t="shared" si="3"/>
        <v>0</v>
      </c>
      <c r="Q14" s="109">
        <f t="shared" si="3"/>
        <v>0</v>
      </c>
      <c r="T14" s="118">
        <f xml:space="preserve"> EING!B14</f>
        <v>5</v>
      </c>
      <c r="U14" s="163" t="str">
        <f xml:space="preserve"> EING!C14</f>
        <v>x_ω</v>
      </c>
      <c r="V14" s="162">
        <v>5</v>
      </c>
      <c r="W14" s="137">
        <v>2200</v>
      </c>
      <c r="X14" s="138">
        <v>46.3</v>
      </c>
      <c r="Y14" s="103">
        <f xml:space="preserve"> IF( X14=0, 0,  ROUND( W14 / X14, Y$4 )   )</f>
        <v>47.52</v>
      </c>
      <c r="Z14" s="153">
        <v>2200</v>
      </c>
      <c r="AA14" s="138">
        <v>46.3</v>
      </c>
      <c r="AB14" s="103">
        <f xml:space="preserve"> IF( AA14=0, 0,  ROUND( Z14 / AA14, AB$4 )   )</f>
        <v>47.52</v>
      </c>
      <c r="AC14" s="153">
        <v>2500</v>
      </c>
      <c r="AD14" s="138">
        <v>49.5</v>
      </c>
      <c r="AE14" s="103">
        <f xml:space="preserve"> IF( AD14=0, 0,  ROUND( AC14 / AD14, AE$4 )   )</f>
        <v>50.51</v>
      </c>
      <c r="AF14" s="158">
        <v>2100</v>
      </c>
      <c r="AG14" s="100">
        <f xml:space="preserve"> ROUND( AF14 / $AG$7, AG$4 )</f>
        <v>2333</v>
      </c>
      <c r="AH14" s="102">
        <f xml:space="preserve"> ROUND(  sx!E14 - SUM( sx!F14:G14 ) / 2,  AH$4  )</f>
        <v>50.5</v>
      </c>
      <c r="AI14" s="103">
        <f xml:space="preserve"> IF( AH14=0, 0,  ROUND( AG14 / AH14, AI$4 )   )</f>
        <v>46.2</v>
      </c>
      <c r="AW14" s="165">
        <f xml:space="preserve"> T14</f>
        <v>5</v>
      </c>
      <c r="AX14" s="167" t="str">
        <f xml:space="preserve"> U14</f>
        <v>x_ω</v>
      </c>
      <c r="AY14" s="201">
        <f t="shared" si="2"/>
        <v>2333</v>
      </c>
      <c r="AZ14" s="105">
        <f t="shared" si="2"/>
        <v>50.5</v>
      </c>
      <c r="BA14" s="106">
        <f t="shared" si="2"/>
        <v>46.2</v>
      </c>
      <c r="BB14" s="202">
        <f xml:space="preserve"> ROUND( $V14 * BB$16, BB$6 )</f>
        <v>49.4</v>
      </c>
      <c r="BC14" s="190">
        <f xml:space="preserve"> ROUND( V14 * BC$16, AW$4 )</f>
        <v>50</v>
      </c>
      <c r="BF14" s="164">
        <f xml:space="preserve"> AW14</f>
        <v>5</v>
      </c>
      <c r="BG14" s="168" t="str">
        <f xml:space="preserve"> AX14</f>
        <v>x_ω</v>
      </c>
      <c r="BH14" s="240">
        <f xml:space="preserve"> AZ14</f>
        <v>50.5</v>
      </c>
      <c r="BI14" s="102">
        <f xml:space="preserve"> IF(  BI$15=0, 1, ROUND( BA14 / BI$15, BI$6 ) )</f>
        <v>4.6500000000000004</v>
      </c>
      <c r="BJ14" s="103">
        <f xml:space="preserve"> IF(  BJ$15=0, 1, ROUND( BI14 * BJ$15, BJ$6 ) )</f>
        <v>46.22</v>
      </c>
      <c r="BK14" s="160">
        <f xml:space="preserve"> IF(  BK$15=0, 1, ROUND( BB14 / BK$15, BK$6 ) )</f>
        <v>5</v>
      </c>
      <c r="BL14" s="103">
        <f xml:space="preserve"> IF(  BL$15=0, 1, ROUND( BK14 * BL$15, BL$6 ) )</f>
        <v>49.4</v>
      </c>
      <c r="BM14" s="160">
        <f xml:space="preserve"> V14</f>
        <v>5</v>
      </c>
      <c r="BN14" s="103">
        <f xml:space="preserve"> IF(  BN$15=0, 1, ROUND( BM14 * BN$15, BN$6 ) )</f>
        <v>50</v>
      </c>
    </row>
    <row r="15" spans="2:66" ht="13" customHeight="1" x14ac:dyDescent="0.15">
      <c r="B15" s="107" t="s">
        <v>134</v>
      </c>
      <c r="C15" s="108"/>
      <c r="D15" s="108"/>
      <c r="E15" s="108" t="s">
        <v>226</v>
      </c>
      <c r="F15" s="108" t="s">
        <v>230</v>
      </c>
      <c r="G15" s="108">
        <f xml:space="preserve"> SUM( H14:Q14 )</f>
        <v>90</v>
      </c>
      <c r="H15" s="108"/>
      <c r="I15" s="108"/>
      <c r="J15" s="108"/>
      <c r="K15" s="108"/>
      <c r="L15" s="108"/>
      <c r="M15" s="108"/>
      <c r="N15" s="108"/>
      <c r="O15" s="108"/>
      <c r="P15" s="108"/>
      <c r="Q15" s="109"/>
      <c r="T15" s="97"/>
      <c r="U15" s="99"/>
      <c r="V15" s="99"/>
      <c r="W15" s="96"/>
      <c r="X15" s="96"/>
      <c r="Y15" s="99"/>
      <c r="Z15" s="97"/>
      <c r="AA15" s="96"/>
      <c r="AB15" s="99"/>
      <c r="AC15" s="97"/>
      <c r="AD15" s="96"/>
      <c r="AE15" s="99"/>
      <c r="AF15" s="97"/>
      <c r="AG15" s="96"/>
      <c r="AH15" s="102"/>
      <c r="AI15" s="99"/>
      <c r="BF15" s="912" t="s">
        <v>219</v>
      </c>
      <c r="BG15" s="913"/>
      <c r="BH15" s="112"/>
      <c r="BI15" s="188">
        <f xml:space="preserve"> BA11</f>
        <v>9.94</v>
      </c>
      <c r="BJ15" s="244">
        <f xml:space="preserve"> BI15</f>
        <v>9.94</v>
      </c>
      <c r="BK15" s="203">
        <f xml:space="preserve"> BB11</f>
        <v>9.8800000000000008</v>
      </c>
      <c r="BL15" s="244">
        <f xml:space="preserve"> BK15</f>
        <v>9.8800000000000008</v>
      </c>
      <c r="BM15" s="203">
        <f xml:space="preserve"> BC11</f>
        <v>10</v>
      </c>
      <c r="BN15" s="244">
        <f xml:space="preserve"> BM15</f>
        <v>10</v>
      </c>
    </row>
    <row r="16" spans="2:66" x14ac:dyDescent="0.15">
      <c r="B16" s="110" t="s">
        <v>214</v>
      </c>
      <c r="C16" s="104"/>
      <c r="D16" s="104"/>
      <c r="E16" s="104" t="s">
        <v>227</v>
      </c>
      <c r="F16" s="104"/>
      <c r="G16" s="106">
        <f xml:space="preserve"> ROUND( SUM( H5:Q5 ), G$1  )</f>
        <v>9.5</v>
      </c>
      <c r="H16" s="104"/>
      <c r="I16" s="104"/>
      <c r="J16" s="104"/>
      <c r="K16" s="104"/>
      <c r="L16" s="104"/>
      <c r="M16" s="104"/>
      <c r="N16" s="104"/>
      <c r="O16" s="104"/>
      <c r="P16" s="104"/>
      <c r="Q16" s="111"/>
      <c r="T16" s="191" t="str">
        <f xml:space="preserve"> EING!B16</f>
        <v>Summe</v>
      </c>
      <c r="U16" s="128"/>
      <c r="V16" s="128"/>
      <c r="W16" s="192">
        <f xml:space="preserve"> SUM( W10:W14 )</f>
        <v>6000</v>
      </c>
      <c r="X16" s="193">
        <f xml:space="preserve"> SUM( X10:X14 )</f>
        <v>318.8</v>
      </c>
      <c r="Y16" s="194">
        <f xml:space="preserve"> IF( X16=0, 0,  ROUND( W16 / X16, Y$4 )   )</f>
        <v>18.82</v>
      </c>
      <c r="Z16" s="195">
        <f xml:space="preserve"> SUM( Z10:Z14 )</f>
        <v>6400</v>
      </c>
      <c r="AA16" s="193">
        <f xml:space="preserve"> SUM( AA10:AA14 )</f>
        <v>337.6</v>
      </c>
      <c r="AB16" s="194">
        <f xml:space="preserve"> IF( AA16=0, 0,  ROUND( Z16 / AA16, AB$4 )   )</f>
        <v>18.96</v>
      </c>
      <c r="AC16" s="195">
        <f xml:space="preserve"> SUM( AC10:AC14 )</f>
        <v>7000</v>
      </c>
      <c r="AD16" s="193">
        <f xml:space="preserve"> SUM( AD10:AD14 )</f>
        <v>358.5</v>
      </c>
      <c r="AE16" s="194">
        <f xml:space="preserve"> IF( AD16=0, 0,  ROUND( AC16 / AD16, AE$4 )   )</f>
        <v>19.53</v>
      </c>
      <c r="AF16" s="195">
        <f xml:space="preserve"> SUM( AF10:AF14 )</f>
        <v>5810</v>
      </c>
      <c r="AG16" s="192">
        <f xml:space="preserve"> SUM( AG10:AG14 )</f>
        <v>6455</v>
      </c>
      <c r="AH16" s="149">
        <f xml:space="preserve"> SUM( AH10:AH14 )</f>
        <v>325</v>
      </c>
      <c r="AI16" s="194">
        <f xml:space="preserve"> IF( AH16=0, 0,  ROUND( AG16 / AH16, AI$4 )   )</f>
        <v>19.86</v>
      </c>
      <c r="AW16" s="912"/>
      <c r="AX16" s="913"/>
      <c r="AY16" s="112"/>
      <c r="AZ16" s="113"/>
      <c r="BA16" s="188">
        <f xml:space="preserve"> BA11</f>
        <v>9.94</v>
      </c>
      <c r="BB16" s="203">
        <f xml:space="preserve"> AH18</f>
        <v>9.8800000000000008</v>
      </c>
      <c r="BC16" s="206">
        <f xml:space="preserve"> AP24</f>
        <v>10</v>
      </c>
      <c r="BF16" s="912" t="s">
        <v>232</v>
      </c>
      <c r="BG16" s="913"/>
      <c r="BH16" s="110"/>
      <c r="BI16" s="104"/>
      <c r="BJ16" s="241">
        <f xml:space="preserve"> ROUND( SUMPRODUCT( $BH10:$BH14, BJ10:BJ14 ), $BH$6 )</f>
        <v>6457</v>
      </c>
      <c r="BK16" s="242"/>
      <c r="BL16" s="241">
        <f xml:space="preserve"> ROUND( SUMPRODUCT( $BH10:$BH14, BL10:BL14 ), $BH$6 )</f>
        <v>6454</v>
      </c>
      <c r="BM16" s="242"/>
      <c r="BN16" s="241">
        <f xml:space="preserve"> ROUND( SUMPRODUCT( $BH10:$BH14, BN10:BN14 ), $BH$6 )</f>
        <v>6533</v>
      </c>
    </row>
    <row r="17" spans="2:66" x14ac:dyDescent="0.15">
      <c r="B17" s="110" t="s">
        <v>135</v>
      </c>
      <c r="C17" s="104"/>
      <c r="D17" s="104"/>
      <c r="E17" s="104"/>
      <c r="F17" s="104" t="s">
        <v>228</v>
      </c>
      <c r="G17" s="106">
        <f xml:space="preserve"> IF(  SUM( H5:Q5 ) = 0,  0,  ROUND(  G15 / SUM( H5:Q5 ),  G$2  )  )</f>
        <v>9.4700000000000006</v>
      </c>
      <c r="H17" s="104"/>
      <c r="I17" s="104"/>
      <c r="J17" s="104"/>
      <c r="K17" s="104"/>
      <c r="L17" s="104"/>
      <c r="M17" s="104"/>
      <c r="N17" s="104"/>
      <c r="O17" s="104"/>
      <c r="P17" s="104"/>
      <c r="Q17" s="111"/>
      <c r="T17" s="191" t="s">
        <v>205</v>
      </c>
      <c r="U17" s="128"/>
      <c r="V17" s="128"/>
      <c r="W17" s="113"/>
      <c r="X17" s="196">
        <f xml:space="preserve"> ROUND( SUMPRODUCT( X10:X14, $V10:$V14), X$4 )</f>
        <v>633.4</v>
      </c>
      <c r="Y17" s="128"/>
      <c r="Z17" s="112"/>
      <c r="AA17" s="196">
        <f xml:space="preserve"> ROUND( SUMPRODUCT( AA10:AA14, $V10:$V14), AA$4 )</f>
        <v>653.70000000000005</v>
      </c>
      <c r="AB17" s="128"/>
      <c r="AC17" s="112"/>
      <c r="AD17" s="196">
        <f xml:space="preserve"> ROUND( SUMPRODUCT( AD10:AD14, $V10:$V14), AD$4 )</f>
        <v>706.7</v>
      </c>
      <c r="AE17" s="128"/>
      <c r="AF17" s="112"/>
      <c r="AG17" s="113"/>
      <c r="AH17" s="196">
        <f xml:space="preserve"> ROUND( SUMPRODUCT( AH10:AH14, $V10:$V14), AH$4 )</f>
        <v>653.25</v>
      </c>
      <c r="AI17" s="197"/>
      <c r="AJ17" s="222"/>
      <c r="BF17" s="96"/>
      <c r="BG17" s="96"/>
      <c r="BH17" s="96"/>
      <c r="BI17" s="96"/>
      <c r="BJ17" s="96"/>
      <c r="BK17" s="96"/>
      <c r="BL17" s="96"/>
      <c r="BM17" s="96"/>
      <c r="BN17" s="96"/>
    </row>
    <row r="18" spans="2:66" x14ac:dyDescent="0.15">
      <c r="B18" s="110" t="s">
        <v>215</v>
      </c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11"/>
      <c r="T18" s="139" t="s">
        <v>193</v>
      </c>
      <c r="U18" s="111"/>
      <c r="V18" s="111"/>
      <c r="W18" s="104"/>
      <c r="X18" s="140">
        <f xml:space="preserve"> ROUND( W16 / X17, $W$4 )</f>
        <v>9.4700000000000006</v>
      </c>
      <c r="Y18" s="111"/>
      <c r="Z18" s="110"/>
      <c r="AA18" s="140">
        <f xml:space="preserve"> ROUND( Z16 / AA17, $W$4 )</f>
        <v>9.7899999999999991</v>
      </c>
      <c r="AB18" s="111"/>
      <c r="AC18" s="110"/>
      <c r="AD18" s="140">
        <f xml:space="preserve"> ROUND( AC16 / AD17, $W$4 )</f>
        <v>9.91</v>
      </c>
      <c r="AE18" s="111"/>
      <c r="AF18" s="110"/>
      <c r="AG18" s="130" t="str">
        <f xml:space="preserve"> TEXT(AG16,"#.##0") &amp; "/ " &amp;  TEXT(AH17,"#.##0,00") &amp; ":"</f>
        <v>6.455/ 653,25:</v>
      </c>
      <c r="AH18" s="140">
        <f xml:space="preserve"> ROUND( AG16 / AH17, $W$4 )</f>
        <v>9.8800000000000008</v>
      </c>
      <c r="AI18" s="111"/>
      <c r="AJ18" s="218"/>
      <c r="BF18" s="96"/>
      <c r="BG18" s="96"/>
      <c r="BH18" s="96"/>
      <c r="BI18" s="96"/>
      <c r="BJ18" s="96"/>
      <c r="BK18" s="96"/>
      <c r="BL18" s="96"/>
      <c r="BM18" s="96"/>
      <c r="BN18" s="96"/>
    </row>
    <row r="19" spans="2:66" x14ac:dyDescent="0.15">
      <c r="T19" s="96"/>
      <c r="U19" s="96"/>
      <c r="AW19" s="532"/>
      <c r="AX19" s="532"/>
      <c r="AY19" s="532"/>
      <c r="AZ19" s="532"/>
      <c r="BA19" s="532"/>
      <c r="BB19" s="532"/>
      <c r="BC19" s="531" t="s">
        <v>274</v>
      </c>
    </row>
    <row r="20" spans="2:66" x14ac:dyDescent="0.15">
      <c r="AC20" s="136" t="str">
        <f xml:space="preserve"> EING!$B$3</f>
        <v>Rundungsstellen</v>
      </c>
      <c r="AD20" s="136"/>
      <c r="AE20" s="136"/>
      <c r="AF20" s="135">
        <v>0</v>
      </c>
      <c r="AG20" s="135">
        <v>2</v>
      </c>
      <c r="AL20" s="134">
        <f xml:space="preserve"> AM20-1</f>
        <v>2013</v>
      </c>
      <c r="AM20" s="134">
        <f xml:space="preserve"> AN20-1</f>
        <v>2014</v>
      </c>
      <c r="AN20" s="134">
        <f xml:space="preserve"> AO20-1</f>
        <v>2015</v>
      </c>
      <c r="AO20" s="150">
        <v>2016</v>
      </c>
      <c r="AP20" s="136"/>
      <c r="AQ20" s="136"/>
      <c r="AR20" s="136"/>
      <c r="AS20" s="136"/>
      <c r="AT20" s="136"/>
      <c r="AU20" s="136"/>
    </row>
    <row r="21" spans="2:66" x14ac:dyDescent="0.15">
      <c r="AC21" s="904"/>
      <c r="AD21" s="901"/>
      <c r="AE21" s="907" t="s">
        <v>136</v>
      </c>
      <c r="AF21" s="907" t="s">
        <v>139</v>
      </c>
      <c r="AG21" s="898" t="s">
        <v>137</v>
      </c>
      <c r="AL21" s="136" t="str">
        <f xml:space="preserve"> EING!$B$3</f>
        <v>Rundungsstellen</v>
      </c>
      <c r="AM21" s="136"/>
      <c r="AN21" s="136"/>
      <c r="AO21" s="136"/>
      <c r="AP21" s="135">
        <v>2</v>
      </c>
      <c r="AQ21" s="136"/>
      <c r="AR21" s="136"/>
      <c r="AS21" s="136"/>
      <c r="AT21" s="141"/>
      <c r="AU21" s="136"/>
    </row>
    <row r="22" spans="2:66" x14ac:dyDescent="0.15">
      <c r="AC22" s="905"/>
      <c r="AD22" s="902"/>
      <c r="AE22" s="902"/>
      <c r="AF22" s="902"/>
      <c r="AG22" s="899"/>
      <c r="AL22" s="147" t="s">
        <v>206</v>
      </c>
      <c r="AM22" s="129" t="s">
        <v>178</v>
      </c>
      <c r="AN22" s="114" t="s">
        <v>179</v>
      </c>
      <c r="AO22" s="125" t="s">
        <v>180</v>
      </c>
      <c r="AP22" s="114" t="s">
        <v>181</v>
      </c>
      <c r="AQ22" s="114"/>
      <c r="AR22" s="114"/>
      <c r="AS22" s="114"/>
      <c r="AT22" s="114"/>
      <c r="AU22" s="128"/>
    </row>
    <row r="23" spans="2:66" x14ac:dyDescent="0.15">
      <c r="AC23" s="906"/>
      <c r="AD23" s="903"/>
      <c r="AE23" s="903"/>
      <c r="AF23" s="903"/>
      <c r="AG23" s="900"/>
      <c r="AL23" s="146"/>
      <c r="AM23" s="97"/>
      <c r="AN23" s="98"/>
      <c r="AO23" s="99"/>
      <c r="AP23" s="96"/>
      <c r="AQ23" s="96"/>
      <c r="AR23" s="96"/>
      <c r="AS23" s="96"/>
      <c r="AT23" s="96"/>
      <c r="AU23" s="99"/>
    </row>
    <row r="24" spans="2:66" x14ac:dyDescent="0.15">
      <c r="AC24" s="97"/>
      <c r="AD24" s="96"/>
      <c r="AE24" s="96"/>
      <c r="AF24" s="96"/>
      <c r="AG24" s="99"/>
      <c r="AL24" s="145"/>
      <c r="AM24" s="160">
        <f xml:space="preserve"> AA18</f>
        <v>9.7899999999999991</v>
      </c>
      <c r="AN24" s="102">
        <f xml:space="preserve"> AD18</f>
        <v>9.91</v>
      </c>
      <c r="AO24" s="103">
        <f xml:space="preserve"> AH18</f>
        <v>9.8800000000000008</v>
      </c>
      <c r="AP24" s="102">
        <f xml:space="preserve"> ROUND( AVERAGE( AM24:AO24) + 1.5 * ( AO24 - AM24 ), AP21 )</f>
        <v>10</v>
      </c>
      <c r="AQ24" s="924" t="str">
        <f xml:space="preserve">    "=   "  &amp;  SUM( AM24:AO24 ) &amp; " / 3 + 1,5 * " &amp; TEXT( AO24 - AM24, "0,00" )
&amp; "   =   " &amp; AVERAGE( AM24:AO24) &amp; " + " &amp; TEXT( 1.5 * ( AO24 - AM24),"0,00" )
&amp; "   =   "  &amp; TEXT( AVERAGE( AM24:AO24) + 1.5 * ( AO24 - AM24 ), "0,00" )</f>
        <v>=   29,58 / 3 + 1,5 * 0,09   =   9,86 + 0,14   =   10,00</v>
      </c>
      <c r="AR24" s="925"/>
      <c r="AS24" s="925"/>
      <c r="AT24" s="925"/>
      <c r="AU24" s="926"/>
    </row>
    <row r="25" spans="2:66" x14ac:dyDescent="0.15">
      <c r="AC25" s="118" t="s">
        <v>8</v>
      </c>
      <c r="AD25" s="96"/>
      <c r="AE25" s="119">
        <v>5300</v>
      </c>
      <c r="AF25" s="120">
        <f xml:space="preserve"> W16</f>
        <v>6000</v>
      </c>
      <c r="AG25" s="121">
        <f xml:space="preserve"> ROUND( AE25 / AF25, AG$20 )</f>
        <v>0.88</v>
      </c>
      <c r="AL25" s="148">
        <f xml:space="preserve"> X18</f>
        <v>9.4700000000000006</v>
      </c>
      <c r="AM25" s="214">
        <f xml:space="preserve"> AM24</f>
        <v>9.7899999999999991</v>
      </c>
      <c r="AN25" s="149">
        <f xml:space="preserve"> AN24</f>
        <v>9.91</v>
      </c>
      <c r="AO25" s="194">
        <f xml:space="preserve"> AO24</f>
        <v>9.8800000000000008</v>
      </c>
      <c r="AP25" s="113">
        <f xml:space="preserve"> ROUND( TREND( AL25:AO25, AL20:AO20, AO20+2 ), AP$21 )</f>
        <v>10.24</v>
      </c>
      <c r="AQ25" s="924" t="s">
        <v>207</v>
      </c>
      <c r="AR25" s="925"/>
      <c r="AS25" s="925"/>
      <c r="AT25" s="925"/>
      <c r="AU25" s="926"/>
    </row>
    <row r="26" spans="2:66" x14ac:dyDescent="0.15">
      <c r="AC26" s="118" t="s">
        <v>9</v>
      </c>
      <c r="AD26" s="96"/>
      <c r="AE26" s="119">
        <v>5900</v>
      </c>
      <c r="AF26" s="120">
        <f xml:space="preserve"> Z16</f>
        <v>6400</v>
      </c>
      <c r="AG26" s="121">
        <f xml:space="preserve"> ROUND( AE26 / AF26, AG$20 )</f>
        <v>0.92</v>
      </c>
    </row>
    <row r="27" spans="2:66" x14ac:dyDescent="0.15">
      <c r="AC27" s="118" t="s">
        <v>10</v>
      </c>
      <c r="AD27" s="96"/>
      <c r="AE27" s="119">
        <v>6400</v>
      </c>
      <c r="AF27" s="120">
        <f xml:space="preserve"> AC16</f>
        <v>7000</v>
      </c>
      <c r="AG27" s="121">
        <f xml:space="preserve"> ROUND( AE27 / AF27, AG$20 )</f>
        <v>0.91</v>
      </c>
    </row>
    <row r="28" spans="2:66" x14ac:dyDescent="0.15">
      <c r="AC28" s="97"/>
      <c r="AD28" s="96"/>
      <c r="AE28" s="96"/>
      <c r="AF28" s="96"/>
      <c r="AG28" s="99"/>
    </row>
    <row r="29" spans="2:66" x14ac:dyDescent="0.15">
      <c r="AC29" s="112"/>
      <c r="AD29" s="113"/>
      <c r="AE29" s="113"/>
      <c r="AF29" s="113"/>
      <c r="AG29" s="125" t="s">
        <v>138</v>
      </c>
    </row>
    <row r="30" spans="2:66" x14ac:dyDescent="0.15">
      <c r="AC30" s="97"/>
      <c r="AD30" s="96"/>
      <c r="AE30" s="96"/>
      <c r="AF30" s="96"/>
      <c r="AG30" s="121">
        <f xml:space="preserve">  ROUND( AVERAGE( AG25:AG27), AG$20 )</f>
        <v>0.9</v>
      </c>
    </row>
    <row r="31" spans="2:66" x14ac:dyDescent="0.15">
      <c r="AC31" s="126" t="s">
        <v>11</v>
      </c>
      <c r="AD31" s="104"/>
      <c r="AE31" s="127">
        <f xml:space="preserve"> AF16</f>
        <v>5810</v>
      </c>
      <c r="AF31" s="127">
        <f xml:space="preserve"> IF(  AE31=0,  AE31,  ROUND( AE31 / AG30, AF$20 )  )</f>
        <v>6456</v>
      </c>
      <c r="AG31" s="111"/>
    </row>
    <row r="32" spans="2:66" x14ac:dyDescent="0.15">
      <c r="AC32" s="920" t="str">
        <f xml:space="preserve"> AE21 &amp; ": bis einschließlich Monat m des Folgejahres regulierte Schäden"</f>
        <v>S^ ^τ ^(τ+1,m) _x: bis einschließlich Monat m des Folgejahres regulierte Schäden</v>
      </c>
      <c r="AD32" s="921"/>
      <c r="AE32" s="921"/>
      <c r="AF32" s="921"/>
      <c r="AG32" s="922"/>
    </row>
    <row r="33" spans="20:63" x14ac:dyDescent="0.15">
      <c r="AC33" s="923"/>
      <c r="AD33" s="915"/>
      <c r="AE33" s="915"/>
      <c r="AF33" s="915"/>
      <c r="AG33" s="916"/>
    </row>
    <row r="34" spans="20:63" x14ac:dyDescent="0.15">
      <c r="AC34" s="97" t="str">
        <f xml:space="preserve"> AF21 &amp; ": Gesamtjahresschaden"</f>
        <v>S^ ^τ_x000D__x: Gesamtjahresschaden</v>
      </c>
      <c r="AD34" s="96"/>
      <c r="AE34" s="96"/>
      <c r="AF34" s="96"/>
      <c r="AG34" s="99"/>
    </row>
    <row r="35" spans="20:63" x14ac:dyDescent="0.15">
      <c r="AC35" s="914" t="str">
        <f xml:space="preserve"> AG21 &amp; ": bei einschließlich Monat m bekannter Anteil am Gesamtschaden"</f>
        <v>AS^ ^τ ^(τ+1,m) _x: bei einschließlich Monat m bekannter Anteil am Gesamtschaden</v>
      </c>
      <c r="AD35" s="915"/>
      <c r="AE35" s="915"/>
      <c r="AF35" s="915"/>
      <c r="AG35" s="916"/>
    </row>
    <row r="36" spans="20:63" x14ac:dyDescent="0.15">
      <c r="AC36" s="917"/>
      <c r="AD36" s="918"/>
      <c r="AE36" s="918"/>
      <c r="AF36" s="918"/>
      <c r="AG36" s="919"/>
    </row>
    <row r="37" spans="20:63" x14ac:dyDescent="0.15">
      <c r="Y37" s="96"/>
      <c r="Z37" s="96"/>
      <c r="AA37" s="96"/>
      <c r="AB37" s="96"/>
      <c r="AC37" s="96"/>
      <c r="AD37" s="96"/>
      <c r="AF37" s="96"/>
    </row>
    <row r="38" spans="20:63" x14ac:dyDescent="0.15">
      <c r="Z38" s="96"/>
      <c r="AA38" s="96"/>
      <c r="AB38" s="96"/>
      <c r="AC38" s="96"/>
      <c r="AF38" s="96"/>
      <c r="AG38" s="96"/>
      <c r="AH38" s="96"/>
      <c r="AI38" s="96"/>
      <c r="AJ38" s="218"/>
      <c r="AK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</row>
    <row r="39" spans="20:63" x14ac:dyDescent="0.15">
      <c r="Z39" s="96"/>
      <c r="AA39" s="96"/>
      <c r="AB39" s="96"/>
      <c r="AC39" s="96"/>
    </row>
    <row r="40" spans="20:63" x14ac:dyDescent="0.15">
      <c r="Y40" s="131"/>
    </row>
    <row r="41" spans="20:63" x14ac:dyDescent="0.15">
      <c r="T41" s="96"/>
      <c r="U41" s="96"/>
      <c r="V41" s="96"/>
      <c r="W41" s="96"/>
      <c r="X41" s="96"/>
    </row>
    <row r="42" spans="20:63" x14ac:dyDescent="0.15">
      <c r="T42" s="96"/>
      <c r="U42" s="96"/>
      <c r="V42" s="96"/>
      <c r="W42" s="96"/>
      <c r="X42" s="96"/>
      <c r="Y42" s="132"/>
      <c r="Z42" s="96"/>
      <c r="AA42" s="96"/>
      <c r="AB42" s="96"/>
      <c r="AC42" s="96"/>
      <c r="AK42" s="96"/>
      <c r="AL42" s="96"/>
      <c r="AS42" s="96"/>
      <c r="AT42" s="96"/>
      <c r="AU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</row>
    <row r="43" spans="20:63" x14ac:dyDescent="0.15">
      <c r="T43" s="96"/>
      <c r="U43" s="96"/>
      <c r="V43" s="96"/>
      <c r="W43" s="96"/>
      <c r="X43" s="96"/>
      <c r="Y43" s="132"/>
      <c r="Z43" s="96"/>
      <c r="AA43" s="96"/>
      <c r="AB43" s="96"/>
      <c r="AC43" s="96"/>
    </row>
    <row r="47" spans="20:63" x14ac:dyDescent="0.15">
      <c r="AD47" s="134" t="s">
        <v>218</v>
      </c>
      <c r="AE47" s="134"/>
      <c r="AF47" s="134"/>
      <c r="AG47" s="134"/>
      <c r="AH47" s="134"/>
      <c r="AI47" s="134"/>
    </row>
    <row r="48" spans="20:63" x14ac:dyDescent="0.15">
      <c r="AD48" s="112"/>
      <c r="AE48" s="128"/>
      <c r="AF48" s="896" t="str">
        <f xml:space="preserve"> AF5</f>
        <v>beobachtete Werte</v>
      </c>
      <c r="AG48" s="895">
        <f xml:space="preserve"> AG5</f>
        <v>0</v>
      </c>
      <c r="AH48" s="895">
        <f xml:space="preserve"> AH5</f>
        <v>0</v>
      </c>
      <c r="AI48" s="897">
        <f xml:space="preserve"> AI5</f>
        <v>0</v>
      </c>
      <c r="AJ48" s="217"/>
    </row>
    <row r="49" spans="30:36" x14ac:dyDescent="0.15">
      <c r="AD49" s="97"/>
      <c r="AE49" s="99"/>
      <c r="AF49" s="905" t="str">
        <f t="shared" ref="AF49:AG51" si="4" xml:space="preserve"> AF6</f>
        <v>S^ ^t1 ^(t1+1,m) _x</v>
      </c>
      <c r="AG49" s="130" t="str">
        <f t="shared" si="4"/>
        <v>AS^ ^t1</v>
      </c>
      <c r="AH49" s="96"/>
      <c r="AI49" s="99"/>
      <c r="AJ49" s="218"/>
    </row>
    <row r="50" spans="30:36" x14ac:dyDescent="0.15">
      <c r="AD50" s="118" t="str">
        <f xml:space="preserve"> T7</f>
        <v>Alter</v>
      </c>
      <c r="AE50" s="99"/>
      <c r="AF50" s="905">
        <f t="shared" si="4"/>
        <v>0</v>
      </c>
      <c r="AG50" s="156">
        <f t="shared" si="4"/>
        <v>0.9</v>
      </c>
      <c r="AH50" s="155"/>
      <c r="AI50" s="157"/>
      <c r="AJ50" s="219"/>
    </row>
    <row r="51" spans="30:36" x14ac:dyDescent="0.15">
      <c r="AD51" s="126" t="str">
        <f xml:space="preserve"> T8</f>
        <v>x</v>
      </c>
      <c r="AE51" s="133" t="str">
        <f xml:space="preserve"> U8</f>
        <v>x_spez.</v>
      </c>
      <c r="AF51" s="906">
        <f t="shared" si="4"/>
        <v>0</v>
      </c>
      <c r="AG51" s="130" t="str">
        <f t="shared" si="4"/>
        <v>S^_x</v>
      </c>
      <c r="AH51" s="130" t="str">
        <f xml:space="preserve"> AH8</f>
        <v>L^_x</v>
      </c>
      <c r="AI51" s="133" t="str">
        <f xml:space="preserve"> AI8</f>
        <v>K^_x</v>
      </c>
      <c r="AJ51" s="220"/>
    </row>
    <row r="52" spans="30:36" x14ac:dyDescent="0.15">
      <c r="AD52" s="118"/>
      <c r="AE52" s="99"/>
      <c r="AF52" s="97"/>
      <c r="AG52" s="96"/>
      <c r="AH52" s="96"/>
      <c r="AI52" s="99"/>
      <c r="AJ52" s="218"/>
    </row>
    <row r="53" spans="30:36" x14ac:dyDescent="0.15">
      <c r="AD53" s="118">
        <f xml:space="preserve"> T10</f>
        <v>1</v>
      </c>
      <c r="AE53" s="163" t="str">
        <f xml:space="preserve"> U10</f>
        <v>x_α</v>
      </c>
      <c r="AF53" s="158">
        <f t="shared" ref="AF53:AI57" si="5" xml:space="preserve"> AF10</f>
        <v>810</v>
      </c>
      <c r="AG53" s="100">
        <f t="shared" si="5"/>
        <v>900</v>
      </c>
      <c r="AH53" s="102">
        <f t="shared" si="5"/>
        <v>93.5</v>
      </c>
      <c r="AI53" s="103">
        <f t="shared" si="5"/>
        <v>9.6300000000000008</v>
      </c>
      <c r="AJ53" s="221"/>
    </row>
    <row r="54" spans="30:36" x14ac:dyDescent="0.15">
      <c r="AD54" s="118">
        <f xml:space="preserve"> T11</f>
        <v>2</v>
      </c>
      <c r="AE54" s="163" t="str">
        <f xml:space="preserve"> U11</f>
        <v>x_N</v>
      </c>
      <c r="AF54" s="158">
        <f t="shared" si="5"/>
        <v>810</v>
      </c>
      <c r="AG54" s="100">
        <f t="shared" si="5"/>
        <v>900</v>
      </c>
      <c r="AH54" s="102">
        <f t="shared" si="5"/>
        <v>90.5</v>
      </c>
      <c r="AI54" s="103">
        <f t="shared" si="5"/>
        <v>9.94</v>
      </c>
      <c r="AJ54" s="221"/>
    </row>
    <row r="55" spans="30:36" x14ac:dyDescent="0.15">
      <c r="AD55" s="118">
        <f xml:space="preserve"> T12</f>
        <v>3</v>
      </c>
      <c r="AE55" s="99"/>
      <c r="AF55" s="153">
        <f t="shared" si="5"/>
        <v>90</v>
      </c>
      <c r="AG55" s="100">
        <f t="shared" si="5"/>
        <v>100</v>
      </c>
      <c r="AH55" s="102">
        <f t="shared" si="5"/>
        <v>9.5</v>
      </c>
      <c r="AI55" s="103">
        <f t="shared" si="5"/>
        <v>10.53</v>
      </c>
      <c r="AJ55" s="221"/>
    </row>
    <row r="56" spans="30:36" x14ac:dyDescent="0.15">
      <c r="AD56" s="118">
        <f xml:space="preserve"> T13</f>
        <v>4</v>
      </c>
      <c r="AE56" s="99"/>
      <c r="AF56" s="158">
        <f t="shared" si="5"/>
        <v>2000</v>
      </c>
      <c r="AG56" s="100">
        <f t="shared" si="5"/>
        <v>2222</v>
      </c>
      <c r="AH56" s="102">
        <f t="shared" si="5"/>
        <v>81</v>
      </c>
      <c r="AI56" s="103">
        <f t="shared" si="5"/>
        <v>27.43</v>
      </c>
      <c r="AJ56" s="221"/>
    </row>
    <row r="57" spans="30:36" x14ac:dyDescent="0.15">
      <c r="AD57" s="118">
        <f xml:space="preserve"> T14</f>
        <v>5</v>
      </c>
      <c r="AE57" s="163" t="str">
        <f xml:space="preserve"> U14</f>
        <v>x_ω</v>
      </c>
      <c r="AF57" s="158">
        <f t="shared" si="5"/>
        <v>2100</v>
      </c>
      <c r="AG57" s="100">
        <f t="shared" si="5"/>
        <v>2333</v>
      </c>
      <c r="AH57" s="102">
        <f t="shared" si="5"/>
        <v>50.5</v>
      </c>
      <c r="AI57" s="103">
        <f t="shared" si="5"/>
        <v>46.2</v>
      </c>
      <c r="AJ57" s="221"/>
    </row>
    <row r="58" spans="30:36" x14ac:dyDescent="0.15">
      <c r="AD58" s="97"/>
      <c r="AE58" s="99"/>
      <c r="AF58" s="97"/>
      <c r="AG58" s="96"/>
      <c r="AH58" s="102"/>
      <c r="AI58" s="99"/>
      <c r="AJ58" s="218"/>
    </row>
    <row r="59" spans="30:36" x14ac:dyDescent="0.15">
      <c r="AD59" s="129" t="str">
        <f xml:space="preserve"> T16</f>
        <v>Summe</v>
      </c>
      <c r="AE59" s="128"/>
      <c r="AF59" s="195">
        <f xml:space="preserve"> AF16</f>
        <v>5810</v>
      </c>
      <c r="AG59" s="192">
        <f xml:space="preserve"> AG16</f>
        <v>6455</v>
      </c>
      <c r="AH59" s="149">
        <f xml:space="preserve"> AH16</f>
        <v>325</v>
      </c>
      <c r="AI59" s="194"/>
      <c r="AJ59" s="221"/>
    </row>
    <row r="62" spans="30:36" x14ac:dyDescent="0.15">
      <c r="AD62" s="134" t="s">
        <v>218</v>
      </c>
      <c r="AE62" s="134"/>
      <c r="AF62" s="134"/>
      <c r="AG62" s="134"/>
      <c r="AH62" s="134"/>
      <c r="AI62" s="134"/>
      <c r="AJ62" s="135">
        <v>0</v>
      </c>
    </row>
    <row r="63" spans="30:36" x14ac:dyDescent="0.15">
      <c r="AD63" s="107"/>
      <c r="AE63" s="109"/>
      <c r="AF63" s="896" t="str">
        <f xml:space="preserve"> beobW_</f>
        <v>beob. W</v>
      </c>
      <c r="AG63" s="897"/>
      <c r="AH63" s="929" t="str">
        <f xml:space="preserve"> effW</f>
        <v>effektive Werte</v>
      </c>
      <c r="AI63" s="930"/>
      <c r="AJ63" s="931"/>
    </row>
    <row r="64" spans="30:36" x14ac:dyDescent="0.15">
      <c r="AD64" s="118" t="str">
        <f xml:space="preserve"> T7</f>
        <v>Alter</v>
      </c>
      <c r="AE64" s="99"/>
      <c r="AF64" s="200"/>
      <c r="AG64" s="100"/>
      <c r="AH64" s="225"/>
      <c r="AI64" s="108"/>
      <c r="AJ64" s="226"/>
    </row>
    <row r="65" spans="29:36" x14ac:dyDescent="0.15">
      <c r="AD65" s="126" t="str">
        <f xml:space="preserve"> T8</f>
        <v>x</v>
      </c>
      <c r="AE65" s="133" t="str">
        <f xml:space="preserve"> U8</f>
        <v>x_spez.</v>
      </c>
      <c r="AF65" s="199" t="str">
        <f xml:space="preserve"> AG8</f>
        <v>S^_x</v>
      </c>
      <c r="AG65" s="224" t="str">
        <f xml:space="preserve"> AH8</f>
        <v>L^_x</v>
      </c>
      <c r="AH65" s="207" t="s">
        <v>216</v>
      </c>
      <c r="AI65" s="166" t="str">
        <f xml:space="preserve"> BB8</f>
        <v>K'_x</v>
      </c>
      <c r="AJ65" s="227" t="s">
        <v>231</v>
      </c>
    </row>
    <row r="66" spans="29:36" x14ac:dyDescent="0.15">
      <c r="AD66" s="118"/>
      <c r="AE66" s="99"/>
      <c r="AF66" s="210"/>
      <c r="AG66" s="215"/>
      <c r="AH66" s="228"/>
      <c r="AI66" s="108"/>
      <c r="AJ66" s="226"/>
    </row>
    <row r="67" spans="29:36" x14ac:dyDescent="0.15">
      <c r="AD67" s="118">
        <f xml:space="preserve"> T10</f>
        <v>1</v>
      </c>
      <c r="AE67" s="163" t="str">
        <f xml:space="preserve"> U10</f>
        <v>x_α</v>
      </c>
      <c r="AF67" s="153">
        <f t="shared" ref="AF67:AG71" si="6" xml:space="preserve"> AG10</f>
        <v>900</v>
      </c>
      <c r="AG67" s="208">
        <f t="shared" si="6"/>
        <v>93.5</v>
      </c>
      <c r="AH67" s="229">
        <f xml:space="preserve"> V10</f>
        <v>1</v>
      </c>
      <c r="AI67" s="102">
        <f xml:space="preserve"> BB10</f>
        <v>9.8800000000000008</v>
      </c>
      <c r="AJ67" s="230">
        <f xml:space="preserve"> ROUND( AG67 * AI67, AJ$62 )</f>
        <v>924</v>
      </c>
    </row>
    <row r="68" spans="29:36" x14ac:dyDescent="0.15">
      <c r="AD68" s="118">
        <f xml:space="preserve"> T11</f>
        <v>2</v>
      </c>
      <c r="AE68" s="163" t="str">
        <f xml:space="preserve"> U11</f>
        <v>x_N</v>
      </c>
      <c r="AF68" s="153">
        <f t="shared" si="6"/>
        <v>900</v>
      </c>
      <c r="AG68" s="208">
        <f t="shared" si="6"/>
        <v>90.5</v>
      </c>
      <c r="AH68" s="229">
        <f xml:space="preserve"> V11</f>
        <v>1</v>
      </c>
      <c r="AI68" s="102">
        <f xml:space="preserve"> BB11</f>
        <v>9.8800000000000008</v>
      </c>
      <c r="AJ68" s="230">
        <f xml:space="preserve"> ROUND( AG68 * AI68, AJ$62 )</f>
        <v>894</v>
      </c>
    </row>
    <row r="69" spans="29:36" x14ac:dyDescent="0.15">
      <c r="AD69" s="118">
        <f xml:space="preserve"> T12</f>
        <v>3</v>
      </c>
      <c r="AE69" s="99"/>
      <c r="AF69" s="153">
        <f t="shared" si="6"/>
        <v>100</v>
      </c>
      <c r="AG69" s="208">
        <f t="shared" si="6"/>
        <v>9.5</v>
      </c>
      <c r="AH69" s="229">
        <f xml:space="preserve"> V12</f>
        <v>1.5</v>
      </c>
      <c r="AI69" s="102">
        <f xml:space="preserve"> BB12</f>
        <v>14.82</v>
      </c>
      <c r="AJ69" s="230">
        <f xml:space="preserve"> ROUND( AG69 * AI69, AJ$62 )</f>
        <v>141</v>
      </c>
    </row>
    <row r="70" spans="29:36" x14ac:dyDescent="0.15">
      <c r="AD70" s="118">
        <f xml:space="preserve"> T13</f>
        <v>4</v>
      </c>
      <c r="AE70" s="99"/>
      <c r="AF70" s="153">
        <f t="shared" si="6"/>
        <v>2222</v>
      </c>
      <c r="AG70" s="208">
        <f t="shared" si="6"/>
        <v>81</v>
      </c>
      <c r="AH70" s="229">
        <f xml:space="preserve"> V13</f>
        <v>2.5</v>
      </c>
      <c r="AI70" s="102">
        <f xml:space="preserve"> BB13</f>
        <v>24.7</v>
      </c>
      <c r="AJ70" s="230">
        <f xml:space="preserve"> ROUND( AG70 * AI70, AJ$62 )</f>
        <v>2001</v>
      </c>
    </row>
    <row r="71" spans="29:36" x14ac:dyDescent="0.15">
      <c r="AD71" s="118">
        <f xml:space="preserve"> T14</f>
        <v>5</v>
      </c>
      <c r="AE71" s="163" t="str">
        <f xml:space="preserve"> U14</f>
        <v>x_ω</v>
      </c>
      <c r="AF71" s="153">
        <f t="shared" si="6"/>
        <v>2333</v>
      </c>
      <c r="AG71" s="208">
        <f t="shared" si="6"/>
        <v>50.5</v>
      </c>
      <c r="AH71" s="229">
        <f xml:space="preserve"> V14</f>
        <v>5</v>
      </c>
      <c r="AI71" s="102">
        <f xml:space="preserve"> BB14</f>
        <v>49.4</v>
      </c>
      <c r="AJ71" s="230">
        <f xml:space="preserve"> ROUND( AG71 * AI71, AJ$62 )</f>
        <v>2495</v>
      </c>
    </row>
    <row r="72" spans="29:36" x14ac:dyDescent="0.15">
      <c r="AD72" s="97"/>
      <c r="AE72" s="99"/>
      <c r="AF72" s="210"/>
      <c r="AG72" s="208"/>
      <c r="AH72" s="229"/>
      <c r="AI72" s="96"/>
      <c r="AJ72" s="230"/>
    </row>
    <row r="73" spans="29:36" x14ac:dyDescent="0.15">
      <c r="AD73" s="129" t="str">
        <f xml:space="preserve"> T16</f>
        <v>Summe</v>
      </c>
      <c r="AE73" s="128"/>
      <c r="AF73" s="211">
        <f xml:space="preserve"> AG16</f>
        <v>6455</v>
      </c>
      <c r="AG73" s="209">
        <f xml:space="preserve"> AH16</f>
        <v>325</v>
      </c>
      <c r="AH73" s="213"/>
      <c r="AI73" s="113"/>
      <c r="AJ73" s="212">
        <f xml:space="preserve"> SUM( AJ67:AJ71 )</f>
        <v>6455</v>
      </c>
    </row>
    <row r="74" spans="29:36" x14ac:dyDescent="0.15">
      <c r="AC74" s="96"/>
      <c r="AD74" s="912" t="str">
        <f xml:space="preserve"> T17</f>
        <v>∑ L^_x * k_x</v>
      </c>
      <c r="AE74" s="913"/>
      <c r="AF74" s="211"/>
      <c r="AG74" s="114"/>
      <c r="AH74" s="213">
        <f xml:space="preserve"> AH17</f>
        <v>653.25</v>
      </c>
      <c r="AI74" s="113"/>
      <c r="AJ74" s="235"/>
    </row>
    <row r="75" spans="29:36" x14ac:dyDescent="0.15">
      <c r="AC75" s="96"/>
      <c r="AD75" s="909" t="str">
        <f xml:space="preserve"> T18</f>
        <v>G'</v>
      </c>
      <c r="AE75" s="910"/>
      <c r="AF75" s="199"/>
      <c r="AG75" s="104"/>
      <c r="AH75" s="126" t="str">
        <f xml:space="preserve"> AG18</f>
        <v>6.455/ 653,25:</v>
      </c>
      <c r="AI75" s="231">
        <f xml:space="preserve"> AH18</f>
        <v>9.8800000000000008</v>
      </c>
      <c r="AJ75" s="232"/>
    </row>
    <row r="76" spans="29:36" x14ac:dyDescent="0.15">
      <c r="AC76" s="96"/>
      <c r="AD76" s="233"/>
      <c r="AE76" s="234"/>
      <c r="AF76" s="234"/>
      <c r="AG76" s="234"/>
      <c r="AH76" s="98"/>
      <c r="AI76" s="215"/>
      <c r="AJ76" s="223"/>
    </row>
    <row r="77" spans="29:36" x14ac:dyDescent="0.15">
      <c r="AC77" s="96"/>
      <c r="AD77" s="96"/>
      <c r="AE77" s="96"/>
      <c r="AF77" s="96"/>
      <c r="AG77" s="96"/>
    </row>
    <row r="78" spans="29:36" x14ac:dyDescent="0.15">
      <c r="AC78" s="96"/>
      <c r="AD78" s="96"/>
      <c r="AE78" s="96"/>
      <c r="AF78" s="96"/>
      <c r="AG78" s="96"/>
    </row>
  </sheetData>
  <mergeCells count="30">
    <mergeCell ref="AF63:AG63"/>
    <mergeCell ref="AD74:AE74"/>
    <mergeCell ref="AD75:AE75"/>
    <mergeCell ref="AY7:BA7"/>
    <mergeCell ref="BF15:BG15"/>
    <mergeCell ref="AH63:AJ63"/>
    <mergeCell ref="BF16:BG16"/>
    <mergeCell ref="AF48:AI48"/>
    <mergeCell ref="AF49:AF51"/>
    <mergeCell ref="AC35:AG36"/>
    <mergeCell ref="AC32:AG33"/>
    <mergeCell ref="AQ24:AU24"/>
    <mergeCell ref="AQ25:AU25"/>
    <mergeCell ref="W7:Y7"/>
    <mergeCell ref="Z7:AB7"/>
    <mergeCell ref="AC7:AE7"/>
    <mergeCell ref="BK7:BL7"/>
    <mergeCell ref="BM7:BN7"/>
    <mergeCell ref="AW16:AX16"/>
    <mergeCell ref="BH7:BJ7"/>
    <mergeCell ref="W5:Y5"/>
    <mergeCell ref="Z5:AB5"/>
    <mergeCell ref="AC5:AE5"/>
    <mergeCell ref="AG21:AG23"/>
    <mergeCell ref="AD21:AD23"/>
    <mergeCell ref="AC21:AC23"/>
    <mergeCell ref="AF6:AF8"/>
    <mergeCell ref="AE21:AE23"/>
    <mergeCell ref="AF21:AF23"/>
    <mergeCell ref="AF5:AI5"/>
  </mergeCells>
  <pageMargins left="0.7" right="0.7" top="0.78740157499999996" bottom="0.78740157499999996" header="0.3" footer="0.3"/>
  <pageSetup paperSize="9" orientation="portrait"/>
  <ignoredErrors>
    <ignoredError sqref="Y16 AB16 AE16 BK10:BN1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W81"/>
  <sheetViews>
    <sheetView showGridLines="0" topLeftCell="D1" zoomScale="80" zoomScaleNormal="80" workbookViewId="0">
      <selection activeCell="D10" sqref="D10"/>
    </sheetView>
  </sheetViews>
  <sheetFormatPr baseColWidth="10" defaultRowHeight="12.5" customHeight="1" x14ac:dyDescent="0.15"/>
  <cols>
    <col min="1" max="4" width="10.83203125" style="2"/>
    <col min="5" max="5" width="10.83203125" style="2" customWidth="1"/>
    <col min="6" max="46" width="10.83203125" style="2"/>
    <col min="47" max="54" width="10.83203125" style="25"/>
    <col min="55" max="63" width="10.83203125" style="2"/>
    <col min="64" max="65" width="10.83203125" style="2" customWidth="1"/>
    <col min="66" max="78" width="10.83203125" style="2"/>
    <col min="81" max="98" width="10.83203125" style="2"/>
    <col min="100" max="16384" width="10.83203125" style="2"/>
  </cols>
  <sheetData>
    <row r="1" spans="2:123" ht="12.5" customHeight="1" x14ac:dyDescent="0.15">
      <c r="D1" s="61">
        <v>2</v>
      </c>
      <c r="BI1" s="264" t="str">
        <f xml:space="preserve"> SUBSTITUTE( SUBSTITUTE( CLEAN( BS6 ), " ", "" ), "-", "" )</f>
        <v>Zielwert*)</v>
      </c>
      <c r="BJ1" s="264" t="str">
        <f xml:space="preserve"> SUBSTITUTE( CLEAN( BP6 ), " ", "" )</f>
        <v>Δ~^r_j/s°)</v>
      </c>
    </row>
    <row r="2" spans="2:123" ht="12.5" customHeight="1" x14ac:dyDescent="0.15">
      <c r="BI2" s="264" t="str">
        <f xml:space="preserve"> LEFT( BI1, LEN(BI1) - 2 )</f>
        <v>Zielwert</v>
      </c>
      <c r="BJ2" s="264" t="str">
        <f xml:space="preserve"> LEFT( BJ1, LEN(BJ1) - 2 )</f>
        <v>Δ~^r_j/s</v>
      </c>
    </row>
    <row r="4" spans="2:123" ht="12.5" customHeight="1" x14ac:dyDescent="0.15">
      <c r="B4" s="151" t="str">
        <f xml:space="preserve"> EING!$B$3</f>
        <v>Rundungsstellen</v>
      </c>
      <c r="C4" s="136"/>
      <c r="D4" s="61">
        <v>4</v>
      </c>
      <c r="E4" s="61">
        <v>2</v>
      </c>
      <c r="F4" s="61">
        <v>2</v>
      </c>
      <c r="G4" s="61">
        <v>2</v>
      </c>
      <c r="CA4" s="2"/>
      <c r="CB4" s="2"/>
    </row>
    <row r="5" spans="2:123" ht="12.5" customHeight="1" x14ac:dyDescent="0.15">
      <c r="B5" s="6"/>
      <c r="C5" s="7" t="s">
        <v>35</v>
      </c>
      <c r="D5" s="8">
        <v>2.5000000000000001E-2</v>
      </c>
      <c r="E5" s="9"/>
      <c r="F5" s="9"/>
      <c r="G5" s="10"/>
      <c r="BI5" s="151" t="str">
        <f xml:space="preserve"> EING!$B$3</f>
        <v>Rundungsstellen</v>
      </c>
      <c r="BJ5" s="136"/>
      <c r="BK5" s="136"/>
      <c r="BL5" s="136"/>
      <c r="BM5" s="61">
        <v>3</v>
      </c>
      <c r="BN5" s="136"/>
      <c r="BO5" s="61">
        <v>2</v>
      </c>
      <c r="BP5" s="136"/>
      <c r="BQ5" s="136"/>
      <c r="BR5" s="152">
        <f xml:space="preserve"> BM5</f>
        <v>3</v>
      </c>
      <c r="BS5" s="61">
        <v>2</v>
      </c>
      <c r="BT5" s="136"/>
      <c r="BV5" s="310"/>
      <c r="BW5" s="310"/>
      <c r="BX5" s="310"/>
      <c r="CA5" s="51"/>
      <c r="CB5" s="2"/>
      <c r="CG5" s="51"/>
      <c r="CI5" s="51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</row>
    <row r="6" spans="2:123" ht="12.5" customHeight="1" x14ac:dyDescent="0.15">
      <c r="B6" s="11"/>
      <c r="C6" s="246" t="s">
        <v>36</v>
      </c>
      <c r="D6" s="12">
        <f xml:space="preserve"> ROUND( 1 / ( 1 + D5 ), D$4 )</f>
        <v>0.97560000000000002</v>
      </c>
      <c r="E6" s="12"/>
      <c r="F6" s="12"/>
      <c r="G6" s="13"/>
      <c r="AA6" s="34"/>
      <c r="AB6" s="34"/>
      <c r="AC6" s="34"/>
      <c r="AD6" s="34"/>
      <c r="AE6" s="34"/>
      <c r="AF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BF6" s="34"/>
      <c r="BG6" s="34"/>
      <c r="BI6" s="932" t="s">
        <v>45</v>
      </c>
      <c r="BJ6" s="941" t="str">
        <f xml:space="preserve"> EING!E8</f>
        <v>j/s</v>
      </c>
      <c r="BK6" s="932" t="s">
        <v>131</v>
      </c>
      <c r="BL6" s="941" t="s">
        <v>119</v>
      </c>
      <c r="BM6" s="941" t="s">
        <v>117</v>
      </c>
      <c r="BN6" s="941" t="s">
        <v>120</v>
      </c>
      <c r="BO6" s="944" t="s">
        <v>118</v>
      </c>
      <c r="BP6" s="932" t="s">
        <v>237</v>
      </c>
      <c r="BQ6" s="944" t="s">
        <v>236</v>
      </c>
      <c r="BR6" s="946" t="s">
        <v>239</v>
      </c>
      <c r="BS6" s="932" t="s">
        <v>83</v>
      </c>
      <c r="BT6" s="944" t="s">
        <v>235</v>
      </c>
      <c r="BV6" s="310"/>
      <c r="BW6" s="310"/>
      <c r="BX6" s="310"/>
      <c r="CA6" s="151" t="str">
        <f xml:space="preserve"> EING!$B$3</f>
        <v>Rundungsstellen</v>
      </c>
      <c r="CB6" s="136"/>
      <c r="CC6" s="136"/>
      <c r="CD6" s="136"/>
      <c r="CE6" s="136"/>
      <c r="CF6" s="136"/>
      <c r="CG6" s="136"/>
      <c r="CH6" s="136"/>
      <c r="CI6" s="61">
        <f xml:space="preserve"> $D$1</f>
        <v>2</v>
      </c>
      <c r="CJ6" s="61">
        <f xml:space="preserve"> $D$1</f>
        <v>2</v>
      </c>
      <c r="CK6" s="61">
        <f xml:space="preserve"> $D$1</f>
        <v>2</v>
      </c>
      <c r="CM6" s="151" t="str">
        <f xml:space="preserve"> EING!$B$3</f>
        <v>Rundungsstellen</v>
      </c>
      <c r="CN6" s="136"/>
      <c r="CO6" s="136"/>
      <c r="CP6" s="136"/>
      <c r="CQ6" s="136"/>
      <c r="CR6" s="136"/>
      <c r="CS6" s="136"/>
      <c r="CT6" s="3">
        <f xml:space="preserve"> AH7</f>
        <v>2</v>
      </c>
      <c r="CU6" s="3">
        <f xml:space="preserve"> AI7</f>
        <v>2</v>
      </c>
    </row>
    <row r="7" spans="2:123" ht="12.5" customHeight="1" x14ac:dyDescent="0.15">
      <c r="B7" s="11"/>
      <c r="C7" s="12"/>
      <c r="D7" s="12"/>
      <c r="E7" s="12"/>
      <c r="F7" s="12"/>
      <c r="G7" s="13"/>
      <c r="I7" s="151" t="str">
        <f xml:space="preserve"> EING!$B$3</f>
        <v>Rundungsstellen</v>
      </c>
      <c r="J7" s="136"/>
      <c r="K7" s="136"/>
      <c r="L7" s="61">
        <v>2</v>
      </c>
      <c r="M7" s="61">
        <v>2</v>
      </c>
      <c r="N7" s="61">
        <v>2</v>
      </c>
      <c r="P7" s="151" t="str">
        <f xml:space="preserve"> EING!$B$3</f>
        <v>Rundungsstellen</v>
      </c>
      <c r="Q7" s="136"/>
      <c r="R7" s="136"/>
      <c r="S7" s="61">
        <v>2</v>
      </c>
      <c r="U7" s="151" t="str">
        <f xml:space="preserve"> EING!$B$3</f>
        <v>Rundungsstellen</v>
      </c>
      <c r="V7" s="136"/>
      <c r="W7" s="136"/>
      <c r="X7" s="61">
        <v>2</v>
      </c>
      <c r="Z7" s="151" t="str">
        <f xml:space="preserve"> EING!$B$3</f>
        <v>Rundungsstellen</v>
      </c>
      <c r="AA7" s="136"/>
      <c r="AB7" s="136"/>
      <c r="AC7" s="136"/>
      <c r="AD7" s="136"/>
      <c r="AE7" s="136"/>
      <c r="AF7" s="136"/>
      <c r="AG7" s="136"/>
      <c r="AH7" s="61">
        <v>2</v>
      </c>
      <c r="AI7" s="61">
        <v>2</v>
      </c>
      <c r="AK7" s="151" t="str">
        <f xml:space="preserve"> EING!$B$3</f>
        <v>Rundungsstellen</v>
      </c>
      <c r="AL7" s="136"/>
      <c r="AM7" s="136"/>
      <c r="AN7" s="136"/>
      <c r="AO7" s="136"/>
      <c r="AP7" s="136"/>
      <c r="AQ7" s="136"/>
      <c r="AR7" s="136"/>
      <c r="AS7" s="311">
        <f xml:space="preserve"> $D$1</f>
        <v>2</v>
      </c>
      <c r="AT7" s="311">
        <f xml:space="preserve"> $D$1</f>
        <v>2</v>
      </c>
      <c r="AU7" s="332"/>
      <c r="AV7" s="332"/>
      <c r="AW7" s="151" t="str">
        <f xml:space="preserve"> EING!$B$3</f>
        <v>Rundungsstellen</v>
      </c>
      <c r="AX7" s="136"/>
      <c r="AY7" s="136"/>
      <c r="AZ7" s="136"/>
      <c r="BA7" s="136"/>
      <c r="BB7" s="136"/>
      <c r="BC7" s="312">
        <f xml:space="preserve"> AH7</f>
        <v>2</v>
      </c>
      <c r="BD7" s="312">
        <f xml:space="preserve"> AI7</f>
        <v>2</v>
      </c>
      <c r="BI7" s="940"/>
      <c r="BJ7" s="942"/>
      <c r="BK7" s="940"/>
      <c r="BL7" s="942"/>
      <c r="BM7" s="942"/>
      <c r="BN7" s="942"/>
      <c r="BO7" s="945"/>
      <c r="BP7" s="940"/>
      <c r="BQ7" s="945"/>
      <c r="BR7" s="947"/>
      <c r="BS7" s="940"/>
      <c r="BT7" s="945"/>
      <c r="BV7" s="310"/>
      <c r="BW7" s="310"/>
      <c r="BX7" s="310"/>
      <c r="CA7" s="932" t="str">
        <f xml:space="preserve"> EING!B8</f>
        <v>x</v>
      </c>
      <c r="CB7" s="941" t="str">
        <f xml:space="preserve"> EING!C8</f>
        <v>x_spez.</v>
      </c>
      <c r="CC7" s="944" t="str">
        <f xml:space="preserve"> EING!E8</f>
        <v>j/s</v>
      </c>
      <c r="CD7" s="941" t="str">
        <f xml:space="preserve"> AC8</f>
        <v>a_x</v>
      </c>
      <c r="CE7" s="941" t="str">
        <f xml:space="preserve"> AD8</f>
        <v>P_x</v>
      </c>
      <c r="CF7" s="932" t="str">
        <f xml:space="preserve"> AE8</f>
        <v>Δ_j/s</v>
      </c>
      <c r="CG7" s="941" t="str">
        <f xml:space="preserve"> IF( OR( BN28=0, BN29=0), BM6 &amp; " setzen", BN22 )</f>
        <v>Δ~ ^r _j/s</v>
      </c>
      <c r="CH7" s="944" t="str">
        <f xml:space="preserve"> AG8</f>
        <v>α^Z_x</v>
      </c>
      <c r="CI7" s="941" t="str">
        <f xml:space="preserve"> BQ22</f>
        <v>B^Z ^r _j/s</v>
      </c>
      <c r="CJ7" s="932" t="s">
        <v>20</v>
      </c>
      <c r="CK7" s="944" t="s">
        <v>28</v>
      </c>
      <c r="CM7" s="934" t="str">
        <f xml:space="preserve"> CA7</f>
        <v>x</v>
      </c>
      <c r="CN7" s="938" t="str">
        <f xml:space="preserve"> CB7</f>
        <v>x_spez.</v>
      </c>
      <c r="CO7" s="936" t="str">
        <f xml:space="preserve"> CC7</f>
        <v>j/s</v>
      </c>
      <c r="CP7" s="934" t="str">
        <f xml:space="preserve"> CF7</f>
        <v>Δ_j/s</v>
      </c>
      <c r="CQ7" s="938" t="str">
        <f xml:space="preserve"> CG7</f>
        <v>Δ~ ^r _j/s</v>
      </c>
      <c r="CR7" s="938" t="str">
        <f xml:space="preserve"> CI7</f>
        <v>B^Z ^r _j/s</v>
      </c>
      <c r="CS7" s="938" t="str">
        <f xml:space="preserve"> CK7</f>
        <v>P^Z_x</v>
      </c>
      <c r="CT7" s="934" t="str">
        <f xml:space="preserve"> AH8</f>
        <v>B^Z _x</v>
      </c>
      <c r="CU7" s="936" t="str">
        <f xml:space="preserve"> AI8</f>
        <v>B~^Z _x</v>
      </c>
      <c r="CY7" s="151" t="str">
        <f xml:space="preserve"> EING!$B$3</f>
        <v>Rundungsstellen</v>
      </c>
      <c r="CZ7" s="136"/>
      <c r="DA7" s="136"/>
      <c r="DB7" s="136"/>
      <c r="DC7" s="312">
        <f xml:space="preserve"> $D$1</f>
        <v>2</v>
      </c>
      <c r="DD7" s="312">
        <f xml:space="preserve"> $D$1</f>
        <v>2</v>
      </c>
      <c r="DE7" s="95"/>
      <c r="DF7" s="151" t="str">
        <f xml:space="preserve"> EING!$B$3</f>
        <v>Rundungsstellen</v>
      </c>
      <c r="DG7" s="136"/>
      <c r="DH7" s="136"/>
      <c r="DI7" s="136"/>
      <c r="DJ7" s="312">
        <f xml:space="preserve"> $D$1</f>
        <v>2</v>
      </c>
      <c r="DK7" s="312">
        <f xml:space="preserve"> $D$1</f>
        <v>2</v>
      </c>
      <c r="DL7" s="312">
        <f xml:space="preserve"> $D$1</f>
        <v>2</v>
      </c>
      <c r="DM7" s="95"/>
    </row>
    <row r="8" spans="2:123" ht="12.5" customHeight="1" x14ac:dyDescent="0.2">
      <c r="B8" s="251" t="str">
        <f xml:space="preserve"> EING!B8</f>
        <v>x</v>
      </c>
      <c r="C8" s="21" t="s">
        <v>6</v>
      </c>
      <c r="D8" s="251" t="s">
        <v>29</v>
      </c>
      <c r="E8" s="21" t="s">
        <v>13</v>
      </c>
      <c r="F8" s="21" t="s">
        <v>12</v>
      </c>
      <c r="G8" s="251" t="s">
        <v>14</v>
      </c>
      <c r="I8" s="251" t="str">
        <f xml:space="preserve"> EING!B8</f>
        <v>x</v>
      </c>
      <c r="J8" s="251" t="str">
        <f xml:space="preserve"> E8</f>
        <v>D_x</v>
      </c>
      <c r="K8" s="251" t="str">
        <f xml:space="preserve"> Kx!BC8</f>
        <v>K_x</v>
      </c>
      <c r="L8" s="21" t="s">
        <v>21</v>
      </c>
      <c r="M8" s="21" t="s">
        <v>22</v>
      </c>
      <c r="N8" s="251" t="s">
        <v>23</v>
      </c>
      <c r="P8" s="251" t="str">
        <f xml:space="preserve"> EING!B8</f>
        <v>x</v>
      </c>
      <c r="Q8" s="21" t="str">
        <f xml:space="preserve"> N8</f>
        <v>GA_x</v>
      </c>
      <c r="R8" s="21" t="str">
        <f xml:space="preserve"> G8</f>
        <v>a_x</v>
      </c>
      <c r="S8" s="251" t="s">
        <v>15</v>
      </c>
      <c r="U8" s="250" t="str">
        <f xml:space="preserve"> EING!B8</f>
        <v>x</v>
      </c>
      <c r="V8" s="292" t="str">
        <f xml:space="preserve"> G8</f>
        <v>a_x</v>
      </c>
      <c r="W8" s="21" t="s">
        <v>47</v>
      </c>
      <c r="X8" s="251" t="s">
        <v>48</v>
      </c>
      <c r="Z8" s="250" t="str">
        <f xml:space="preserve"> EING!B8</f>
        <v>x</v>
      </c>
      <c r="AA8" s="21" t="str">
        <f xml:space="preserve"> EING!C8</f>
        <v>x_spez.</v>
      </c>
      <c r="AB8" s="249" t="str">
        <f xml:space="preserve"> EING!E8</f>
        <v>j/s</v>
      </c>
      <c r="AC8" s="21" t="str">
        <f xml:space="preserve"> G8</f>
        <v>a_x</v>
      </c>
      <c r="AD8" s="249" t="str">
        <f xml:space="preserve"> S8</f>
        <v>P_x</v>
      </c>
      <c r="AE8" s="274" t="str">
        <f xml:space="preserve"> BM22</f>
        <v>Δ_j/s</v>
      </c>
      <c r="AF8" s="255" t="str">
        <f xml:space="preserve"> BR22 &amp; IF( OR(BR28=0,BR29=0),  " setzen", ""   )</f>
        <v>Γ _j/s</v>
      </c>
      <c r="AG8" s="256" t="s">
        <v>234</v>
      </c>
      <c r="AH8" s="255" t="s">
        <v>26</v>
      </c>
      <c r="AI8" s="256" t="s">
        <v>233</v>
      </c>
      <c r="AK8" s="129" t="str">
        <f xml:space="preserve"> EING!B8</f>
        <v>x</v>
      </c>
      <c r="AL8" s="114" t="str">
        <f xml:space="preserve"> EING!C8</f>
        <v>x_spez.</v>
      </c>
      <c r="AM8" s="125" t="str">
        <f xml:space="preserve"> EING!E8</f>
        <v>j/s</v>
      </c>
      <c r="AN8" s="114" t="str">
        <f xml:space="preserve"> R8</f>
        <v>a_x</v>
      </c>
      <c r="AO8" s="125" t="str">
        <f xml:space="preserve"> AD8</f>
        <v>P_x</v>
      </c>
      <c r="AP8" s="313" t="str">
        <f xml:space="preserve"> AE8</f>
        <v>Δ_j/s</v>
      </c>
      <c r="AQ8" s="314" t="str">
        <f xml:space="preserve"> AF8</f>
        <v>Γ _j/s</v>
      </c>
      <c r="AR8" s="315" t="str">
        <f xml:space="preserve"> AG8</f>
        <v>α^Z_x</v>
      </c>
      <c r="AS8" s="313" t="s">
        <v>20</v>
      </c>
      <c r="AT8" s="315" t="s">
        <v>28</v>
      </c>
      <c r="AU8" s="333"/>
      <c r="AV8" s="333"/>
      <c r="AW8" s="335" t="str">
        <f t="shared" ref="AW8:AW14" si="0" xml:space="preserve"> AK8</f>
        <v>x</v>
      </c>
      <c r="AX8" s="336" t="str">
        <f t="shared" ref="AX8:AX14" si="1" xml:space="preserve"> AL8</f>
        <v>x_spez.</v>
      </c>
      <c r="AY8" s="337" t="str">
        <f xml:space="preserve"> AM8</f>
        <v>j/s</v>
      </c>
      <c r="AZ8" s="338" t="str">
        <f xml:space="preserve"> AP8</f>
        <v>Δ_j/s</v>
      </c>
      <c r="BA8" s="330" t="str">
        <f t="shared" ref="BA8:BA14" si="2" xml:space="preserve"> AQ8</f>
        <v>Γ _j/s</v>
      </c>
      <c r="BB8" s="339" t="str">
        <f xml:space="preserve"> AT8</f>
        <v>P^Z_x</v>
      </c>
      <c r="BC8" s="338" t="str">
        <f xml:space="preserve"> AH8</f>
        <v>B^Z _x</v>
      </c>
      <c r="BD8" s="339" t="str">
        <f xml:space="preserve"> AI8</f>
        <v>B~^Z _x</v>
      </c>
      <c r="BI8" s="11"/>
      <c r="BJ8" s="246"/>
      <c r="BK8" s="11"/>
      <c r="BL8" s="12"/>
      <c r="BM8" s="14"/>
      <c r="BN8" s="15"/>
      <c r="BO8" s="13"/>
      <c r="BP8" s="11"/>
      <c r="BQ8" s="300"/>
      <c r="BR8" s="254"/>
      <c r="BS8" s="11"/>
      <c r="BT8" s="13"/>
      <c r="BV8" s="310"/>
      <c r="BW8" s="310"/>
      <c r="BX8" s="310"/>
      <c r="CA8" s="933"/>
      <c r="CB8" s="943"/>
      <c r="CC8" s="972"/>
      <c r="CD8" s="943"/>
      <c r="CE8" s="943"/>
      <c r="CF8" s="933"/>
      <c r="CG8" s="943"/>
      <c r="CH8" s="972"/>
      <c r="CI8" s="943"/>
      <c r="CJ8" s="933"/>
      <c r="CK8" s="972"/>
      <c r="CM8" s="935"/>
      <c r="CN8" s="939"/>
      <c r="CO8" s="937"/>
      <c r="CP8" s="935"/>
      <c r="CQ8" s="939"/>
      <c r="CR8" s="939"/>
      <c r="CS8" s="939"/>
      <c r="CT8" s="935"/>
      <c r="CU8" s="937"/>
      <c r="CY8" s="383" t="str">
        <f xml:space="preserve"> EING!$F8</f>
        <v>Alt'bereich</v>
      </c>
      <c r="CZ8" s="338" t="s">
        <v>5</v>
      </c>
      <c r="DA8" s="330" t="s">
        <v>241</v>
      </c>
      <c r="DB8" s="339" t="s">
        <v>242</v>
      </c>
      <c r="DC8" s="338" t="s">
        <v>42</v>
      </c>
      <c r="DD8" s="339" t="s">
        <v>243</v>
      </c>
      <c r="DE8" s="95"/>
      <c r="DF8" s="383" t="str">
        <f xml:space="preserve"> EING!$F8</f>
        <v>Alt'bereich</v>
      </c>
      <c r="DG8" s="384" t="str">
        <f xml:space="preserve"> CZ8</f>
        <v>K_x</v>
      </c>
      <c r="DH8" s="385" t="str">
        <f xml:space="preserve"> DA8</f>
        <v>Δ</v>
      </c>
      <c r="DI8" s="125" t="str">
        <f xml:space="preserve"> DK18</f>
        <v>Δ~</v>
      </c>
      <c r="DJ8" s="335" t="str">
        <f xml:space="preserve"> DC8</f>
        <v>B^R _x</v>
      </c>
      <c r="DK8" s="337" t="str">
        <f xml:space="preserve"> DD8</f>
        <v>B~^R _x</v>
      </c>
      <c r="DL8" s="386" t="s">
        <v>39</v>
      </c>
      <c r="DM8" s="95"/>
    </row>
    <row r="9" spans="2:123" ht="12.5" customHeight="1" x14ac:dyDescent="0.15">
      <c r="B9" s="252"/>
      <c r="C9" s="12"/>
      <c r="D9" s="254"/>
      <c r="E9" s="12"/>
      <c r="F9" s="12"/>
      <c r="G9" s="254"/>
      <c r="I9" s="252"/>
      <c r="J9" s="254"/>
      <c r="K9" s="254"/>
      <c r="L9" s="12"/>
      <c r="M9" s="12"/>
      <c r="N9" s="254"/>
      <c r="P9" s="252"/>
      <c r="Q9" s="12"/>
      <c r="R9" s="12"/>
      <c r="S9" s="254"/>
      <c r="U9" s="24"/>
      <c r="V9" s="252"/>
      <c r="W9" s="246"/>
      <c r="X9" s="252"/>
      <c r="Z9" s="24"/>
      <c r="AA9" s="246"/>
      <c r="AB9" s="267"/>
      <c r="AC9" s="12"/>
      <c r="AD9" s="13"/>
      <c r="AE9" s="11"/>
      <c r="AF9" s="12"/>
      <c r="AG9" s="13"/>
      <c r="AH9" s="12"/>
      <c r="AI9" s="13"/>
      <c r="AK9" s="118"/>
      <c r="AL9" s="98"/>
      <c r="AM9" s="163"/>
      <c r="AN9" s="96"/>
      <c r="AO9" s="99"/>
      <c r="AP9" s="97"/>
      <c r="AQ9" s="96"/>
      <c r="AR9" s="99"/>
      <c r="AS9" s="97"/>
      <c r="AT9" s="99"/>
      <c r="AU9" s="218"/>
      <c r="AV9" s="218"/>
      <c r="AW9" s="340"/>
      <c r="AX9" s="220"/>
      <c r="AY9" s="341"/>
      <c r="AZ9" s="342"/>
      <c r="BA9" s="218"/>
      <c r="BB9" s="230"/>
      <c r="BC9" s="342"/>
      <c r="BD9" s="230"/>
      <c r="BI9" s="24" t="s">
        <v>278</v>
      </c>
      <c r="BJ9" s="246" t="s">
        <v>16</v>
      </c>
      <c r="BK9" s="11"/>
      <c r="BL9" s="17">
        <f xml:space="preserve"> 25 * BN9</f>
        <v>5250</v>
      </c>
      <c r="BM9" s="12"/>
      <c r="BN9" s="15">
        <f xml:space="preserve"> SUM( sx!E10:E12 )</f>
        <v>210</v>
      </c>
      <c r="BO9" s="13"/>
      <c r="BP9" s="11"/>
      <c r="BQ9" s="300">
        <f xml:space="preserve"> BQ28</f>
        <v>32.11</v>
      </c>
      <c r="BR9" s="254"/>
      <c r="BS9" s="11"/>
      <c r="BT9" s="13"/>
      <c r="BV9" s="310"/>
      <c r="BW9" s="310"/>
      <c r="BX9" s="310"/>
      <c r="CA9" s="11"/>
      <c r="CB9" s="12"/>
      <c r="CC9" s="13"/>
      <c r="CD9" s="12"/>
      <c r="CE9" s="12"/>
      <c r="CF9" s="11"/>
      <c r="CG9" s="12"/>
      <c r="CH9" s="13"/>
      <c r="CI9" s="12"/>
      <c r="CJ9" s="11"/>
      <c r="CK9" s="13"/>
      <c r="CM9" s="354"/>
      <c r="CN9" s="25"/>
      <c r="CO9" s="355"/>
      <c r="CP9" s="354"/>
      <c r="CQ9" s="25"/>
      <c r="CR9" s="25"/>
      <c r="CS9" s="25"/>
      <c r="CT9" s="354"/>
      <c r="CU9" s="355"/>
      <c r="CY9" s="374"/>
      <c r="CZ9" s="342"/>
      <c r="DA9" s="218"/>
      <c r="DB9" s="230"/>
      <c r="DC9" s="342"/>
      <c r="DD9" s="230"/>
      <c r="DE9" s="95"/>
      <c r="DF9" s="374"/>
      <c r="DG9" s="97"/>
      <c r="DH9" s="96"/>
      <c r="DI9" s="99"/>
      <c r="DJ9" s="342"/>
      <c r="DK9" s="230"/>
      <c r="DL9" s="374"/>
      <c r="DM9" s="95"/>
    </row>
    <row r="10" spans="2:123" ht="12.5" customHeight="1" x14ac:dyDescent="0.15">
      <c r="B10" s="252">
        <f xml:space="preserve"> EING!B10</f>
        <v>1</v>
      </c>
      <c r="C10" s="25">
        <f xml:space="preserve"> sx!O10</f>
        <v>100</v>
      </c>
      <c r="D10" s="281">
        <f xml:space="preserve"> ROUND( D$6 ^ B10, D$4 )</f>
        <v>0.97560000000000002</v>
      </c>
      <c r="E10" s="26">
        <f xml:space="preserve"> ROUND( C10 * D10, E$4 )</f>
        <v>97.56</v>
      </c>
      <c r="F10" s="26">
        <f xml:space="preserve"> ROUND( SUM( E10:E$14 ), F$4 )</f>
        <v>369.71</v>
      </c>
      <c r="G10" s="283">
        <f xml:space="preserve"> IF(  $J10=0,  1,  ROUND( F10 / $J10, G$4 )  )</f>
        <v>3.79</v>
      </c>
      <c r="I10" s="252">
        <f xml:space="preserve"> EING!B10</f>
        <v>1</v>
      </c>
      <c r="J10" s="279">
        <f xml:space="preserve"> E10</f>
        <v>97.56</v>
      </c>
      <c r="K10" s="279">
        <f xml:space="preserve"> Kx!BC10</f>
        <v>10</v>
      </c>
      <c r="L10" s="26">
        <f xml:space="preserve"> ROUND( Kx!BC10 * E10, L$7 )</f>
        <v>975.6</v>
      </c>
      <c r="M10" s="26">
        <f xml:space="preserve"> ROUND( SUM( L10:L$14 ), M$7 )</f>
        <v>6832.75</v>
      </c>
      <c r="N10" s="283">
        <f xml:space="preserve"> IF(  $J10=0,  K10,  ROUND( M10 / $J10, N$7 )  )</f>
        <v>70.040000000000006</v>
      </c>
      <c r="P10" s="252">
        <f xml:space="preserve"> EING!B10</f>
        <v>1</v>
      </c>
      <c r="Q10" s="26">
        <f xml:space="preserve"> N10</f>
        <v>70.040000000000006</v>
      </c>
      <c r="R10" s="26">
        <f xml:space="preserve"> G10</f>
        <v>3.79</v>
      </c>
      <c r="S10" s="283">
        <f xml:space="preserve"> IF(  R10=0,  Q10,  ROUND( Q10 / R10, S$7 )  )</f>
        <v>18.48</v>
      </c>
      <c r="U10" s="24">
        <f xml:space="preserve"> EING!B10</f>
        <v>1</v>
      </c>
      <c r="V10" s="287">
        <f xml:space="preserve"> G10</f>
        <v>3.79</v>
      </c>
      <c r="W10" s="285">
        <f xml:space="preserve"> AG10 * AI10</f>
        <v>4.7</v>
      </c>
      <c r="X10" s="287">
        <f xml:space="preserve"> ROUND(  W10 / V10, X$7 )</f>
        <v>1.24</v>
      </c>
      <c r="Z10" s="24">
        <f xml:space="preserve"> EING!B10</f>
        <v>1</v>
      </c>
      <c r="AA10" s="246" t="str">
        <f xml:space="preserve"> EING!C10</f>
        <v>x_α</v>
      </c>
      <c r="AB10" s="267" t="str">
        <f xml:space="preserve"> EING!E10</f>
        <v>j</v>
      </c>
      <c r="AC10" s="26">
        <f xml:space="preserve"> G10</f>
        <v>3.79</v>
      </c>
      <c r="AD10" s="27">
        <f xml:space="preserve"> S10</f>
        <v>18.48</v>
      </c>
      <c r="AE10" s="268">
        <f xml:space="preserve"> INDEX( $BM$28:$BM$29, MATCH( $AB10, $BK$28:$BK$29, 0 )   )</f>
        <v>0.106</v>
      </c>
      <c r="AF10" s="257">
        <f xml:space="preserve"> INDEX( $BR$28:$BR$29, MATCH( $AB10, $BK$28:$BK$29, 0 )   )</f>
        <v>5.46</v>
      </c>
      <c r="AG10" s="269">
        <v>2</v>
      </c>
      <c r="AH10" s="47">
        <f xml:space="preserve"> ROUND(     (  AD10 + AF10  )  /  (  1 - AE10 - AG10 / ( 12 * AC10 )  ),    AH$7    )</f>
        <v>28.16</v>
      </c>
      <c r="AI10" s="259">
        <f xml:space="preserve"> ROUND( AH10 / 12, AI$7 )</f>
        <v>2.35</v>
      </c>
      <c r="AK10" s="118">
        <f xml:space="preserve"> EING!B10</f>
        <v>1</v>
      </c>
      <c r="AL10" s="98" t="str">
        <f xml:space="preserve"> EING!C10</f>
        <v>x_α</v>
      </c>
      <c r="AM10" s="163" t="str">
        <f xml:space="preserve"> EING!E10</f>
        <v>j</v>
      </c>
      <c r="AN10" s="316">
        <f xml:space="preserve"> R10</f>
        <v>3.79</v>
      </c>
      <c r="AO10" s="317">
        <f t="shared" ref="AO10:AR14" si="3" xml:space="preserve"> AD10</f>
        <v>18.48</v>
      </c>
      <c r="AP10" s="318">
        <f t="shared" si="3"/>
        <v>0.106</v>
      </c>
      <c r="AQ10" s="319">
        <f t="shared" si="3"/>
        <v>5.46</v>
      </c>
      <c r="AR10" s="320">
        <f t="shared" si="3"/>
        <v>2</v>
      </c>
      <c r="AS10" s="321">
        <f xml:space="preserve"> ROUND(   (  12 * AN10 * ( 1 - AP10 )  )  /  (  12 * AN10 * ( 1 - AP10 )  -  AR10  ),  AS$7  )</f>
        <v>1.05</v>
      </c>
      <c r="AT10" s="317">
        <f xml:space="preserve"> ROUND( AS10 * AO10 + ( AS10 - 1 ) *AQ10, AT$7 )</f>
        <v>19.68</v>
      </c>
      <c r="AU10" s="331"/>
      <c r="AV10" s="331"/>
      <c r="AW10" s="340">
        <f t="shared" si="0"/>
        <v>1</v>
      </c>
      <c r="AX10" s="220" t="str">
        <f t="shared" si="1"/>
        <v>x_α</v>
      </c>
      <c r="AY10" s="341" t="str">
        <f xml:space="preserve"> AM10</f>
        <v>j</v>
      </c>
      <c r="AZ10" s="343">
        <f xml:space="preserve"> AP10</f>
        <v>0.106</v>
      </c>
      <c r="BA10" s="344">
        <f t="shared" si="2"/>
        <v>5.46</v>
      </c>
      <c r="BB10" s="345">
        <f xml:space="preserve"> AT10</f>
        <v>19.68</v>
      </c>
      <c r="BC10" s="400">
        <f xml:space="preserve"> ROUND( ( BB10 + BA10 ) / ( 1 - AZ10 ), BC$7 )</f>
        <v>28.12</v>
      </c>
      <c r="BD10" s="401">
        <f xml:space="preserve"> ROUND( BC10 / 12, BD$7 )</f>
        <v>2.34</v>
      </c>
      <c r="BI10" s="11"/>
      <c r="BJ10" s="246" t="s">
        <v>17</v>
      </c>
      <c r="BK10" s="11"/>
      <c r="BL10" s="17">
        <f xml:space="preserve"> 50 * BN10</f>
        <v>10000</v>
      </c>
      <c r="BM10" s="12"/>
      <c r="BN10" s="15">
        <f xml:space="preserve"> SUM( sx!E13:E14 )</f>
        <v>200</v>
      </c>
      <c r="BO10" s="13"/>
      <c r="BP10" s="11"/>
      <c r="BQ10" s="301">
        <f xml:space="preserve"> BQ29</f>
        <v>30.73</v>
      </c>
      <c r="BR10" s="254"/>
      <c r="BS10" s="11"/>
      <c r="BT10" s="13"/>
      <c r="BV10" s="310"/>
      <c r="BW10" s="310"/>
      <c r="BX10" s="310"/>
      <c r="CA10" s="24">
        <f xml:space="preserve"> EING!B10</f>
        <v>1</v>
      </c>
      <c r="CB10" s="246" t="str">
        <f xml:space="preserve"> EING!D10</f>
        <v>x_α</v>
      </c>
      <c r="CC10" s="267" t="str">
        <f xml:space="preserve"> EING!E10</f>
        <v>j</v>
      </c>
      <c r="CD10" s="26">
        <f xml:space="preserve"> R10</f>
        <v>3.79</v>
      </c>
      <c r="CE10" s="26">
        <f t="shared" ref="CE10:CF14" si="4" xml:space="preserve"> AD10</f>
        <v>18.48</v>
      </c>
      <c r="CF10" s="268">
        <f t="shared" si="4"/>
        <v>0.106</v>
      </c>
      <c r="CG10" s="258">
        <f xml:space="preserve"> INDEX( $BN$28:$BN$29, MATCH( $CC10, $BK$28:$BK$29, 0 )   )</f>
        <v>0.17</v>
      </c>
      <c r="CH10" s="269">
        <f xml:space="preserve"> AG10</f>
        <v>2</v>
      </c>
      <c r="CI10" s="26">
        <f xml:space="preserve"> ROUND( $CE$11 / ( 1 - CF10 - CG10 - $CH$11 / ( 12 * $CD$11 ) ),  CI$6  )</f>
        <v>32.11</v>
      </c>
      <c r="CJ10" s="265">
        <f xml:space="preserve"> ROUND(   (  12 * CD10 * ( 1 - CF10 )  )  /  (  12 * CD10 * ( 1 - CF10 )  -  CH10  ),  CJ$6  )</f>
        <v>1.05</v>
      </c>
      <c r="CK10" s="27">
        <f xml:space="preserve"> ROUND( CJ10 * CE10 + ( CJ10 - 1 ) * CG10 * CI10, CK$6 )</f>
        <v>19.68</v>
      </c>
      <c r="CM10" s="356">
        <f t="shared" ref="CM10:CO11" si="5" xml:space="preserve"> CA10</f>
        <v>1</v>
      </c>
      <c r="CN10" s="357" t="str">
        <f t="shared" si="5"/>
        <v>x_α</v>
      </c>
      <c r="CO10" s="358" t="str">
        <f t="shared" si="5"/>
        <v>j</v>
      </c>
      <c r="CP10" s="359">
        <f t="shared" ref="CP10:CQ14" si="6" xml:space="preserve"> CF10</f>
        <v>0.106</v>
      </c>
      <c r="CQ10" s="360">
        <f t="shared" si="6"/>
        <v>0.17</v>
      </c>
      <c r="CR10" s="361">
        <f xml:space="preserve"> CI10</f>
        <v>32.11</v>
      </c>
      <c r="CS10" s="361">
        <f xml:space="preserve"> CK10</f>
        <v>19.68</v>
      </c>
      <c r="CT10" s="404">
        <f xml:space="preserve"> ROUND( ( CS10 + CQ10 * CR10 ) / ( 1 - CP10 ), CT$6 )</f>
        <v>28.12</v>
      </c>
      <c r="CU10" s="405">
        <f xml:space="preserve"> ROUND( CT10 / 12, CU$6 )</f>
        <v>2.34</v>
      </c>
      <c r="CY10" s="375" t="str">
        <f xml:space="preserve"> EING!$F10</f>
        <v>K</v>
      </c>
      <c r="CZ10" s="377">
        <v>5</v>
      </c>
      <c r="DA10" s="378">
        <v>0.106</v>
      </c>
      <c r="DB10" s="381">
        <f xml:space="preserve"> DL10</f>
        <v>0.93</v>
      </c>
      <c r="DC10" s="400">
        <f xml:space="preserve"> ROUND(  ( CZ10 + DB10 ) / ( 1 - DA10 ), DC$7 )</f>
        <v>6.63</v>
      </c>
      <c r="DD10" s="401">
        <f xml:space="preserve"> ROUND( DC10 / 12, DD$7 )</f>
        <v>0.55000000000000004</v>
      </c>
      <c r="DE10" s="95"/>
      <c r="DF10" s="375" t="str">
        <f xml:space="preserve"> EING!$F10</f>
        <v>K</v>
      </c>
      <c r="DG10" s="387">
        <f xml:space="preserve"> CZ10</f>
        <v>5</v>
      </c>
      <c r="DH10" s="388">
        <f xml:space="preserve"> DA10</f>
        <v>0.106</v>
      </c>
      <c r="DI10" s="389">
        <f xml:space="preserve"> $DK$20</f>
        <v>0.14000000000000001</v>
      </c>
      <c r="DJ10" s="407">
        <f xml:space="preserve"> ROUND(  DG10 / ( 1 - DH10 - DI10 ),  DJ$7   )</f>
        <v>6.63</v>
      </c>
      <c r="DK10" s="401">
        <f xml:space="preserve"> ROUND( DJ10 / 12, DK$7 )</f>
        <v>0.55000000000000004</v>
      </c>
      <c r="DL10" s="390">
        <f xml:space="preserve"> ROUND( DJ10 * DI10, DL$7 )</f>
        <v>0.93</v>
      </c>
      <c r="DM10" s="95"/>
    </row>
    <row r="11" spans="2:123" ht="12.5" customHeight="1" x14ac:dyDescent="0.15">
      <c r="B11" s="252">
        <f xml:space="preserve"> EING!B11</f>
        <v>2</v>
      </c>
      <c r="C11" s="25">
        <f xml:space="preserve"> sx!O11</f>
        <v>91</v>
      </c>
      <c r="D11" s="281">
        <f xml:space="preserve"> ROUND( D$6 ^ B11, D$4 )</f>
        <v>0.95179999999999998</v>
      </c>
      <c r="E11" s="26">
        <f xml:space="preserve"> ROUND( C11 * D11, E$4 )</f>
        <v>86.61</v>
      </c>
      <c r="F11" s="26">
        <f xml:space="preserve"> ROUND( SUM( E11:E$14 ), F$4 )</f>
        <v>272.14999999999998</v>
      </c>
      <c r="G11" s="283">
        <f xml:space="preserve"> IF(  $J11=0,  1,  ROUND( F11 / $J11, G$4 )  )</f>
        <v>3.14</v>
      </c>
      <c r="I11" s="252">
        <f xml:space="preserve"> EING!B11</f>
        <v>2</v>
      </c>
      <c r="J11" s="279">
        <f xml:space="preserve"> E11</f>
        <v>86.61</v>
      </c>
      <c r="K11" s="279">
        <f xml:space="preserve"> Kx!BC11</f>
        <v>10</v>
      </c>
      <c r="L11" s="26">
        <f xml:space="preserve"> ROUND( Kx!BC11 * E11, L$7 )</f>
        <v>866.1</v>
      </c>
      <c r="M11" s="26">
        <f xml:space="preserve"> ROUND( SUM( L11:L$14 ), M$7 )</f>
        <v>5857.15</v>
      </c>
      <c r="N11" s="283">
        <f xml:space="preserve"> IF(  $J11=0,  K11,  ROUND( M11 / $J11, N$7 )  )</f>
        <v>67.63</v>
      </c>
      <c r="P11" s="252">
        <f xml:space="preserve"> EING!B11</f>
        <v>2</v>
      </c>
      <c r="Q11" s="26">
        <f xml:space="preserve"> N11</f>
        <v>67.63</v>
      </c>
      <c r="R11" s="26">
        <f xml:space="preserve"> G11</f>
        <v>3.14</v>
      </c>
      <c r="S11" s="283">
        <f xml:space="preserve"> IF(  R11=0,  Q11,  ROUND( Q11 / R11, S$7 )  )</f>
        <v>21.54</v>
      </c>
      <c r="U11" s="24">
        <f xml:space="preserve"> EING!B11</f>
        <v>2</v>
      </c>
      <c r="V11" s="287">
        <f xml:space="preserve"> G11</f>
        <v>3.14</v>
      </c>
      <c r="W11" s="285">
        <f xml:space="preserve"> AG11 * AI11</f>
        <v>5.36</v>
      </c>
      <c r="X11" s="287">
        <f xml:space="preserve"> ROUND(  W11 / V11, X$7 )</f>
        <v>1.71</v>
      </c>
      <c r="Z11" s="24">
        <f xml:space="preserve"> EING!B11</f>
        <v>2</v>
      </c>
      <c r="AA11" s="246"/>
      <c r="AB11" s="267" t="str">
        <f xml:space="preserve"> EING!E11</f>
        <v>j</v>
      </c>
      <c r="AC11" s="26">
        <f xml:space="preserve"> G11</f>
        <v>3.14</v>
      </c>
      <c r="AD11" s="27">
        <f xml:space="preserve"> S11</f>
        <v>21.54</v>
      </c>
      <c r="AE11" s="275">
        <f xml:space="preserve"> INDEX( $BM$28:$BM$29, MATCH( $AB11, $BK$28:$BK$29, 0 )   )</f>
        <v>0.106</v>
      </c>
      <c r="AF11" s="260">
        <f xml:space="preserve"> INDEX( $BR$28:$BR$29, MATCH( $AB11, $BK$28:$BK$29, 0 )   )</f>
        <v>5.46</v>
      </c>
      <c r="AG11" s="27">
        <f xml:space="preserve"> AG10</f>
        <v>2</v>
      </c>
      <c r="AH11" s="47">
        <f xml:space="preserve"> ROUND(     (  AD11 + AF11  )  /  (  1 - AE11 - AG11 / ( 12 * AC11 )  ),    AH$7    )</f>
        <v>32.11</v>
      </c>
      <c r="AI11" s="259">
        <f xml:space="preserve"> ROUND( AH11 / 12, AI$7 )</f>
        <v>2.68</v>
      </c>
      <c r="AK11" s="118">
        <f xml:space="preserve"> EING!B11</f>
        <v>2</v>
      </c>
      <c r="AL11" s="98" t="str">
        <f xml:space="preserve"> EING!C11</f>
        <v>x_N</v>
      </c>
      <c r="AM11" s="163" t="str">
        <f xml:space="preserve"> EING!E11</f>
        <v>j</v>
      </c>
      <c r="AN11" s="316">
        <f xml:space="preserve"> R11</f>
        <v>3.14</v>
      </c>
      <c r="AO11" s="317">
        <f t="shared" si="3"/>
        <v>21.54</v>
      </c>
      <c r="AP11" s="322">
        <f t="shared" si="3"/>
        <v>0.106</v>
      </c>
      <c r="AQ11" s="323">
        <f t="shared" si="3"/>
        <v>5.46</v>
      </c>
      <c r="AR11" s="317">
        <f t="shared" si="3"/>
        <v>2</v>
      </c>
      <c r="AS11" s="321">
        <f xml:space="preserve"> ROUND(   (  12 * AN11 * ( 1 - AP11 )  )  /  (  12 * AN11 * ( 1 - AP11 )  -  AR11  ),  AS$7  )</f>
        <v>1.06</v>
      </c>
      <c r="AT11" s="317">
        <f xml:space="preserve"> ROUND( AS11 * AO11 + ( AS11 - 1 ) *AQ11, AT$7 )</f>
        <v>23.16</v>
      </c>
      <c r="AU11" s="331"/>
      <c r="AV11" s="331"/>
      <c r="AW11" s="340">
        <f t="shared" si="0"/>
        <v>2</v>
      </c>
      <c r="AX11" s="220" t="str">
        <f t="shared" si="1"/>
        <v>x_N</v>
      </c>
      <c r="AY11" s="341" t="str">
        <f xml:space="preserve"> AM11</f>
        <v>j</v>
      </c>
      <c r="AZ11" s="346">
        <f xml:space="preserve"> AP11</f>
        <v>0.106</v>
      </c>
      <c r="BA11" s="347">
        <f t="shared" si="2"/>
        <v>5.46</v>
      </c>
      <c r="BB11" s="345">
        <f xml:space="preserve"> AT11</f>
        <v>23.16</v>
      </c>
      <c r="BC11" s="400">
        <f xml:space="preserve"> ROUND( ( BB11 + BA11 ) / ( 1 - AZ11 ), BC$7 )</f>
        <v>32.01</v>
      </c>
      <c r="BD11" s="401">
        <f xml:space="preserve"> ROUND( BC11 / 12, BD$7 )</f>
        <v>2.67</v>
      </c>
      <c r="BI11" s="11"/>
      <c r="BJ11" s="246" t="s">
        <v>31</v>
      </c>
      <c r="BK11" s="296">
        <f xml:space="preserve"> ROUND( BL11 * SUM( BT24:BV24 ), -1 )</f>
        <v>1630</v>
      </c>
      <c r="BL11" s="294">
        <f xml:space="preserve"> 25 * BN9 + 50 * BN10</f>
        <v>15250</v>
      </c>
      <c r="BM11" s="18">
        <f xml:space="preserve"> ROUND( BK11 / BL11, 3 )</f>
        <v>0.107</v>
      </c>
      <c r="BN11" s="293">
        <f xml:space="preserve"> BN9 + BN10</f>
        <v>410</v>
      </c>
      <c r="BO11" s="297">
        <f xml:space="preserve"> ROUND( BK11 / BN11, BO$5 )</f>
        <v>3.98</v>
      </c>
      <c r="BP11" s="302">
        <v>0.14000000000000001</v>
      </c>
      <c r="BQ11" s="13"/>
      <c r="BR11" s="304">
        <f xml:space="preserve"> ROUND( BK$11 / ( BN9 * BQ9 + BN10 * BQ10 ), BR$5 )</f>
        <v>0.126</v>
      </c>
      <c r="BS11" s="306">
        <f xml:space="preserve"> ROUND( MAX( BR11 + 0.01, BR11 * 1.05 ), BS$5 )</f>
        <v>0.14000000000000001</v>
      </c>
      <c r="BT11" s="20" t="str">
        <f xml:space="preserve">  IF( BP11&gt;BS11, "zu groß!",  IF( BP11&lt;BS11, "zu gering!", iO  ) )</f>
        <v>i.O.</v>
      </c>
      <c r="BV11" s="310"/>
      <c r="BW11" s="310"/>
      <c r="BX11" s="310"/>
      <c r="CA11" s="24">
        <f xml:space="preserve"> EING!B11</f>
        <v>2</v>
      </c>
      <c r="CB11" s="246" t="str">
        <f xml:space="preserve"> EING!D11</f>
        <v>x_N,  x_r</v>
      </c>
      <c r="CC11" s="267" t="str">
        <f xml:space="preserve"> EING!E11</f>
        <v>j</v>
      </c>
      <c r="CD11" s="26">
        <f xml:space="preserve"> R11</f>
        <v>3.14</v>
      </c>
      <c r="CE11" s="26">
        <f t="shared" si="4"/>
        <v>21.54</v>
      </c>
      <c r="CF11" s="270">
        <f t="shared" si="4"/>
        <v>0.106</v>
      </c>
      <c r="CG11" s="44">
        <f xml:space="preserve"> INDEX( $BN$28:$BN$29, MATCH( $CC11, $BK$28:$BK$29, 0 )   )</f>
        <v>0.17</v>
      </c>
      <c r="CH11" s="27">
        <f xml:space="preserve"> AG11</f>
        <v>2</v>
      </c>
      <c r="CI11" s="26">
        <f xml:space="preserve"> ROUND( $CE$11 / ( 1 - CF11 - CG11 - $CH$11 / ( 12 * $CD$11 ) ),  CI$6  )</f>
        <v>32.11</v>
      </c>
      <c r="CJ11" s="265">
        <f xml:space="preserve"> ROUND(   (  12 * CD11 * ( 1 - CF11 )  )  /  (  12 * CD11 * ( 1 - CF11 )  -  CH11  ),  CJ$6  )</f>
        <v>1.06</v>
      </c>
      <c r="CK11" s="27">
        <f xml:space="preserve"> ROUND( CJ11 * CE11 + ( CJ11 - 1 ) * CG11 * CI11, CK$6 )</f>
        <v>23.16</v>
      </c>
      <c r="CM11" s="356">
        <f t="shared" si="5"/>
        <v>2</v>
      </c>
      <c r="CN11" s="357" t="str">
        <f t="shared" si="5"/>
        <v>x_N,  x_r</v>
      </c>
      <c r="CO11" s="358" t="str">
        <f t="shared" si="5"/>
        <v>j</v>
      </c>
      <c r="CP11" s="362">
        <f t="shared" si="6"/>
        <v>0.106</v>
      </c>
      <c r="CQ11" s="363">
        <f t="shared" si="6"/>
        <v>0.17</v>
      </c>
      <c r="CR11" s="361">
        <f xml:space="preserve"> CI11</f>
        <v>32.11</v>
      </c>
      <c r="CS11" s="361">
        <f xml:space="preserve"> CK11</f>
        <v>23.16</v>
      </c>
      <c r="CT11" s="404">
        <f xml:space="preserve"> ROUND( ( CS11 + CQ11 * CR11 ) / ( 1 - CP11 ), CT$6 )</f>
        <v>32.01</v>
      </c>
      <c r="CU11" s="405">
        <f xml:space="preserve"> ROUND( CT11 / 12, CU$6 )</f>
        <v>2.67</v>
      </c>
      <c r="CY11" s="376" t="str">
        <f xml:space="preserve"> EING!$F11</f>
        <v>J</v>
      </c>
      <c r="CZ11" s="379">
        <v>8</v>
      </c>
      <c r="DA11" s="380">
        <v>0.106</v>
      </c>
      <c r="DB11" s="382">
        <f xml:space="preserve"> DL11</f>
        <v>1.49</v>
      </c>
      <c r="DC11" s="402">
        <f xml:space="preserve"> ROUND(  ( CZ11 + DB11 ) / ( 1 - DA11 ), DC$7 )</f>
        <v>10.62</v>
      </c>
      <c r="DD11" s="403">
        <f xml:space="preserve"> ROUND( DC11 / 12, DD$7 )</f>
        <v>0.89</v>
      </c>
      <c r="DE11" s="95"/>
      <c r="DF11" s="376" t="str">
        <f xml:space="preserve"> EING!$F11</f>
        <v>J</v>
      </c>
      <c r="DG11" s="391">
        <f xml:space="preserve"> CZ11</f>
        <v>8</v>
      </c>
      <c r="DH11" s="392">
        <f xml:space="preserve"> DA11</f>
        <v>0.106</v>
      </c>
      <c r="DI11" s="393">
        <f xml:space="preserve"> $DK$20</f>
        <v>0.14000000000000001</v>
      </c>
      <c r="DJ11" s="408">
        <f xml:space="preserve"> ROUND(  DG11 / ( 1 - DH11 - DI11 ),  DJ$7   )</f>
        <v>10.61</v>
      </c>
      <c r="DK11" s="403">
        <f xml:space="preserve"> ROUND( DJ11 / 12, DK$7 )</f>
        <v>0.88</v>
      </c>
      <c r="DL11" s="394">
        <f xml:space="preserve"> ROUND( DJ11 * DI11, DL$7 )</f>
        <v>1.49</v>
      </c>
      <c r="DM11" s="95"/>
    </row>
    <row r="12" spans="2:123" ht="12.5" customHeight="1" x14ac:dyDescent="0.15">
      <c r="B12" s="252">
        <f xml:space="preserve"> EING!B12</f>
        <v>3</v>
      </c>
      <c r="C12" s="25">
        <f xml:space="preserve"> sx!O12</f>
        <v>81</v>
      </c>
      <c r="D12" s="281">
        <f xml:space="preserve"> ROUND( D$6 ^ B12, D$4 )</f>
        <v>0.92859999999999998</v>
      </c>
      <c r="E12" s="26">
        <f xml:space="preserve"> ROUND( C12 * D12, E$4 )</f>
        <v>75.22</v>
      </c>
      <c r="F12" s="26">
        <f xml:space="preserve"> ROUND( SUM( E12:E$14 ), F$4 )</f>
        <v>185.54</v>
      </c>
      <c r="G12" s="283">
        <f xml:space="preserve"> IF(  $J12=0,  1,  ROUND( F12 / $J12, G$4 )  )</f>
        <v>2.4700000000000002</v>
      </c>
      <c r="I12" s="252">
        <f xml:space="preserve"> EING!B12</f>
        <v>3</v>
      </c>
      <c r="J12" s="279">
        <f xml:space="preserve"> E12</f>
        <v>75.22</v>
      </c>
      <c r="K12" s="279">
        <f xml:space="preserve"> Kx!BC12</f>
        <v>15</v>
      </c>
      <c r="L12" s="26">
        <f xml:space="preserve"> ROUND( Kx!BC12 * E12, L$7 )</f>
        <v>1128.3</v>
      </c>
      <c r="M12" s="26">
        <f xml:space="preserve"> ROUND( SUM( L12:L$14 ), M$7 )</f>
        <v>4991.05</v>
      </c>
      <c r="N12" s="283">
        <f xml:space="preserve"> IF(  $J12=0,  K12,  ROUND( M12 / $J12, N$7 )  )</f>
        <v>66.349999999999994</v>
      </c>
      <c r="P12" s="252">
        <f xml:space="preserve"> EING!B12</f>
        <v>3</v>
      </c>
      <c r="Q12" s="26">
        <f xml:space="preserve"> N12</f>
        <v>66.349999999999994</v>
      </c>
      <c r="R12" s="26">
        <f xml:space="preserve"> G12</f>
        <v>2.4700000000000002</v>
      </c>
      <c r="S12" s="283">
        <f xml:space="preserve"> IF(  R12=0,  Q12,  ROUND( Q12 / R12, S$7 )  )</f>
        <v>26.86</v>
      </c>
      <c r="U12" s="24">
        <f xml:space="preserve"> EING!B12</f>
        <v>3</v>
      </c>
      <c r="V12" s="287">
        <f xml:space="preserve"> G12</f>
        <v>2.4700000000000002</v>
      </c>
      <c r="W12" s="285">
        <f xml:space="preserve"> AG12 * AI12</f>
        <v>6.52</v>
      </c>
      <c r="X12" s="287">
        <f xml:space="preserve"> ROUND(  W12 / V12, X$7 )</f>
        <v>2.64</v>
      </c>
      <c r="Z12" s="24">
        <f xml:space="preserve"> EING!B12</f>
        <v>3</v>
      </c>
      <c r="AA12" s="246"/>
      <c r="AB12" s="267" t="str">
        <f xml:space="preserve"> EING!E12</f>
        <v>j</v>
      </c>
      <c r="AC12" s="26">
        <f xml:space="preserve"> G12</f>
        <v>2.4700000000000002</v>
      </c>
      <c r="AD12" s="27">
        <f xml:space="preserve"> S12</f>
        <v>26.86</v>
      </c>
      <c r="AE12" s="275">
        <f xml:space="preserve"> INDEX( $BM$28:$BM$29, MATCH( $AB12, $BK$28:$BK$29, 0 )   )</f>
        <v>0.106</v>
      </c>
      <c r="AF12" s="260">
        <f xml:space="preserve"> INDEX( $BR$28:$BR$29, MATCH( $AB12, $BK$28:$BK$29, 0 )   )</f>
        <v>5.46</v>
      </c>
      <c r="AG12" s="27">
        <f xml:space="preserve"> AG11</f>
        <v>2</v>
      </c>
      <c r="AH12" s="47">
        <f xml:space="preserve"> ROUND(     (  AD12 + AF12  )  /  (  1 - AE12 - AG12 / ( 12 * AC12 )  ),    AH$7    )</f>
        <v>39.1</v>
      </c>
      <c r="AI12" s="259">
        <f xml:space="preserve"> ROUND( AH12 / 12, AI$7 )</f>
        <v>3.26</v>
      </c>
      <c r="AK12" s="118">
        <f xml:space="preserve"> EING!B12</f>
        <v>3</v>
      </c>
      <c r="AL12" s="98"/>
      <c r="AM12" s="163" t="str">
        <f xml:space="preserve"> EING!E12</f>
        <v>j</v>
      </c>
      <c r="AN12" s="316">
        <f xml:space="preserve"> R12</f>
        <v>2.4700000000000002</v>
      </c>
      <c r="AO12" s="317">
        <f t="shared" si="3"/>
        <v>26.86</v>
      </c>
      <c r="AP12" s="322">
        <f t="shared" si="3"/>
        <v>0.106</v>
      </c>
      <c r="AQ12" s="323">
        <f t="shared" si="3"/>
        <v>5.46</v>
      </c>
      <c r="AR12" s="317">
        <f t="shared" si="3"/>
        <v>2</v>
      </c>
      <c r="AS12" s="321">
        <f xml:space="preserve"> ROUND(   (  12 * AN12 * ( 1 - AP12 )  )  /  (  12 * AN12 * ( 1 - AP12 )  -  AR12  ),  AS$7  )</f>
        <v>1.08</v>
      </c>
      <c r="AT12" s="317">
        <f xml:space="preserve"> ROUND( AS12 * AO12 + ( AS12 - 1 ) *AQ12, AT$7 )</f>
        <v>29.45</v>
      </c>
      <c r="AU12" s="331"/>
      <c r="AV12" s="331"/>
      <c r="AW12" s="340">
        <f t="shared" si="0"/>
        <v>3</v>
      </c>
      <c r="AX12" s="220"/>
      <c r="AY12" s="341" t="str">
        <f xml:space="preserve"> AM12</f>
        <v>j</v>
      </c>
      <c r="AZ12" s="346">
        <f xml:space="preserve"> AP12</f>
        <v>0.106</v>
      </c>
      <c r="BA12" s="347">
        <f t="shared" si="2"/>
        <v>5.46</v>
      </c>
      <c r="BB12" s="345">
        <f xml:space="preserve"> AT12</f>
        <v>29.45</v>
      </c>
      <c r="BC12" s="400">
        <f xml:space="preserve"> ROUND( ( BB12 + BA12 ) / ( 1 - AZ12 ), BC$7 )</f>
        <v>39.049999999999997</v>
      </c>
      <c r="BD12" s="401">
        <f xml:space="preserve"> ROUND( BC12 / 12, BD$7 )</f>
        <v>3.25</v>
      </c>
      <c r="BI12" s="11"/>
      <c r="BJ12" s="12"/>
      <c r="BK12" s="11"/>
      <c r="BL12" s="295"/>
      <c r="BM12" s="12"/>
      <c r="BN12" s="12"/>
      <c r="BO12" s="13"/>
      <c r="BP12" s="11"/>
      <c r="BQ12" s="13"/>
      <c r="BR12" s="254"/>
      <c r="BS12" s="11"/>
      <c r="BT12" s="13"/>
      <c r="BV12" s="310"/>
      <c r="BW12" s="310"/>
      <c r="BX12" s="310"/>
      <c r="CA12" s="24">
        <f xml:space="preserve"> EING!B12</f>
        <v>3</v>
      </c>
      <c r="CB12" s="246"/>
      <c r="CC12" s="267" t="str">
        <f xml:space="preserve"> EING!E12</f>
        <v>j</v>
      </c>
      <c r="CD12" s="26">
        <f xml:space="preserve"> R12</f>
        <v>2.4700000000000002</v>
      </c>
      <c r="CE12" s="26">
        <f t="shared" si="4"/>
        <v>26.86</v>
      </c>
      <c r="CF12" s="270">
        <f t="shared" si="4"/>
        <v>0.106</v>
      </c>
      <c r="CG12" s="44">
        <f xml:space="preserve"> INDEX( $BN$28:$BN$29, MATCH( $CC12, $BK$28:$BK$29, 0 )   )</f>
        <v>0.17</v>
      </c>
      <c r="CH12" s="27">
        <f xml:space="preserve"> AG12</f>
        <v>2</v>
      </c>
      <c r="CI12" s="26">
        <f xml:space="preserve"> ROUND( $CE$11 / ( 1 - CF12 - CG12 - $CH$11 / ( 12 * $CD$11 ) ),  CI$6  )</f>
        <v>32.11</v>
      </c>
      <c r="CJ12" s="265">
        <f xml:space="preserve"> ROUND(   (  12 * CD12 * ( 1 - CF12 )  )  /  (  12 * CD12 * ( 1 - CF12 )  -  CH12  ),  CJ$6  )</f>
        <v>1.08</v>
      </c>
      <c r="CK12" s="27">
        <f xml:space="preserve"> ROUND( CJ12 * CE12 + ( CJ12 - 1 ) * CG12 * CI12, CK$6 )</f>
        <v>29.45</v>
      </c>
      <c r="CM12" s="356">
        <f xml:space="preserve"> CA12</f>
        <v>3</v>
      </c>
      <c r="CN12" s="357"/>
      <c r="CO12" s="358" t="str">
        <f xml:space="preserve"> CC12</f>
        <v>j</v>
      </c>
      <c r="CP12" s="362">
        <f t="shared" si="6"/>
        <v>0.106</v>
      </c>
      <c r="CQ12" s="363">
        <f t="shared" si="6"/>
        <v>0.17</v>
      </c>
      <c r="CR12" s="361">
        <f xml:space="preserve"> CI12</f>
        <v>32.11</v>
      </c>
      <c r="CS12" s="361">
        <f xml:space="preserve"> CK12</f>
        <v>29.45</v>
      </c>
      <c r="CT12" s="404">
        <f xml:space="preserve"> ROUND( ( CS12 + CQ12 * CR12 ) / ( 1 - CP12 ), CT$6 )</f>
        <v>39.049999999999997</v>
      </c>
      <c r="CU12" s="405">
        <f xml:space="preserve"> ROUND( CT12 / 12, CU$6 )</f>
        <v>3.25</v>
      </c>
      <c r="CY12" s="95"/>
      <c r="CZ12" s="95"/>
      <c r="DA12" s="95"/>
      <c r="DB12" s="95"/>
      <c r="DC12" s="95"/>
      <c r="DD12" s="95"/>
      <c r="DE12" s="95"/>
      <c r="DF12" s="112"/>
      <c r="DG12" s="113"/>
      <c r="DH12" s="113"/>
      <c r="DI12" s="113"/>
      <c r="DJ12" s="113"/>
      <c r="DK12" s="113"/>
      <c r="DL12" s="409" t="str">
        <f xml:space="preserve"> CK15</f>
        <v>Abweichungen auf Grund von Rundungen (algebraische Gleichheit)</v>
      </c>
      <c r="DM12" s="95"/>
      <c r="DS12" s="34"/>
    </row>
    <row r="13" spans="2:123" ht="12.5" customHeight="1" x14ac:dyDescent="0.15">
      <c r="B13" s="252">
        <f xml:space="preserve"> EING!B13</f>
        <v>4</v>
      </c>
      <c r="C13" s="25">
        <f xml:space="preserve"> sx!O13</f>
        <v>73</v>
      </c>
      <c r="D13" s="281">
        <f xml:space="preserve"> ROUND( D$6 ^ B13, D$4 )</f>
        <v>0.90590000000000004</v>
      </c>
      <c r="E13" s="26">
        <f xml:space="preserve"> ROUND( C13 * D13, E$4 )</f>
        <v>66.13</v>
      </c>
      <c r="F13" s="26">
        <f xml:space="preserve"> ROUND( SUM( E13:E$14 ), F$4 )</f>
        <v>110.32</v>
      </c>
      <c r="G13" s="283">
        <f xml:space="preserve"> IF(  $J13=0,  1,  ROUND( F13 / $J13, G$4 )  )</f>
        <v>1.67</v>
      </c>
      <c r="I13" s="252">
        <f xml:space="preserve"> EING!B13</f>
        <v>4</v>
      </c>
      <c r="J13" s="279">
        <f xml:space="preserve"> E13</f>
        <v>66.13</v>
      </c>
      <c r="K13" s="279">
        <f xml:space="preserve"> Kx!BC13</f>
        <v>25</v>
      </c>
      <c r="L13" s="26">
        <f xml:space="preserve"> ROUND( Kx!BC13 * E13, L$7 )</f>
        <v>1653.25</v>
      </c>
      <c r="M13" s="26">
        <f xml:space="preserve"> ROUND( SUM( L13:L$14 ), M$7 )</f>
        <v>3862.75</v>
      </c>
      <c r="N13" s="283">
        <f xml:space="preserve"> IF(  $J13=0,  K13,  ROUND( M13 / $J13, N$7 )  )</f>
        <v>58.41</v>
      </c>
      <c r="P13" s="252">
        <f xml:space="preserve"> EING!B13</f>
        <v>4</v>
      </c>
      <c r="Q13" s="26">
        <f xml:space="preserve"> N13</f>
        <v>58.41</v>
      </c>
      <c r="R13" s="26">
        <f xml:space="preserve"> G13</f>
        <v>1.67</v>
      </c>
      <c r="S13" s="283">
        <f xml:space="preserve"> IF(  R13=0,  Q13,  ROUND( Q13 / R13, S$7 )  )</f>
        <v>34.979999999999997</v>
      </c>
      <c r="U13" s="24">
        <f xml:space="preserve"> EING!B13</f>
        <v>4</v>
      </c>
      <c r="V13" s="287">
        <f xml:space="preserve"> G13</f>
        <v>1.67</v>
      </c>
      <c r="W13" s="285">
        <f xml:space="preserve"> AG13 * AI13</f>
        <v>3.88</v>
      </c>
      <c r="X13" s="287">
        <f xml:space="preserve"> ROUND(  W13 / V13, X$7 )</f>
        <v>2.3199999999999998</v>
      </c>
      <c r="Z13" s="24">
        <f xml:space="preserve"> EING!B13</f>
        <v>4</v>
      </c>
      <c r="AA13" s="246" t="str">
        <f xml:space="preserve"> EING!C13</f>
        <v>x_s</v>
      </c>
      <c r="AB13" s="267" t="str">
        <f xml:space="preserve"> EING!E13</f>
        <v>s</v>
      </c>
      <c r="AC13" s="26">
        <f xml:space="preserve"> G13</f>
        <v>1.67</v>
      </c>
      <c r="AD13" s="27">
        <f xml:space="preserve"> S13</f>
        <v>34.979999999999997</v>
      </c>
      <c r="AE13" s="268">
        <f xml:space="preserve"> INDEX( $BM$28:$BM$29, MATCH( $AB13, $BK$28:$BK$29, 0 )   )</f>
        <v>0.106</v>
      </c>
      <c r="AF13" s="257">
        <f xml:space="preserve"> INDEX( $BR$28:$BR$29, MATCH( $AB13, $BK$28:$BK$29, 0 )   )</f>
        <v>4.3</v>
      </c>
      <c r="AG13" s="269">
        <v>1</v>
      </c>
      <c r="AH13" s="47">
        <f xml:space="preserve"> ROUND(     (  AD13 + AF13  )  /  (  1 - AE13 - AG13 / ( 12 * AC13 )  ),    AH$7    )</f>
        <v>46.53</v>
      </c>
      <c r="AI13" s="259">
        <f xml:space="preserve"> ROUND( AH13 / 12, AI$7 )</f>
        <v>3.88</v>
      </c>
      <c r="AK13" s="118">
        <f xml:space="preserve"> EING!B13</f>
        <v>4</v>
      </c>
      <c r="AL13" s="98" t="str">
        <f xml:space="preserve"> EING!C13</f>
        <v>x_s</v>
      </c>
      <c r="AM13" s="163" t="str">
        <f xml:space="preserve"> EING!E13</f>
        <v>s</v>
      </c>
      <c r="AN13" s="316">
        <f xml:space="preserve"> R13</f>
        <v>1.67</v>
      </c>
      <c r="AO13" s="317">
        <f t="shared" si="3"/>
        <v>34.979999999999997</v>
      </c>
      <c r="AP13" s="318">
        <f t="shared" si="3"/>
        <v>0.106</v>
      </c>
      <c r="AQ13" s="319">
        <f t="shared" si="3"/>
        <v>4.3</v>
      </c>
      <c r="AR13" s="320">
        <f t="shared" si="3"/>
        <v>1</v>
      </c>
      <c r="AS13" s="321">
        <f xml:space="preserve"> ROUND(   (  12 * AN13 * ( 1 - AP13 )  )  /  (  12 * AN13 * ( 1 - AP13 )  -  AR13  ),  AS$7  )</f>
        <v>1.06</v>
      </c>
      <c r="AT13" s="317">
        <f xml:space="preserve"> ROUND( AS13 * AO13 + ( AS13 - 1 ) *AQ13, AT$7 )</f>
        <v>37.340000000000003</v>
      </c>
      <c r="AU13" s="331"/>
      <c r="AV13" s="331"/>
      <c r="AW13" s="340">
        <f t="shared" si="0"/>
        <v>4</v>
      </c>
      <c r="AX13" s="220" t="str">
        <f t="shared" si="1"/>
        <v>x_s</v>
      </c>
      <c r="AY13" s="341" t="str">
        <f xml:space="preserve"> AM13</f>
        <v>s</v>
      </c>
      <c r="AZ13" s="343">
        <f xml:space="preserve"> AP13</f>
        <v>0.106</v>
      </c>
      <c r="BA13" s="344">
        <f t="shared" si="2"/>
        <v>4.3</v>
      </c>
      <c r="BB13" s="345">
        <f xml:space="preserve"> AT13</f>
        <v>37.340000000000003</v>
      </c>
      <c r="BC13" s="400">
        <f xml:space="preserve"> ROUND( ( BB13 + BA13 ) / ( 1 - AZ13 ), BC$7 )</f>
        <v>46.58</v>
      </c>
      <c r="BD13" s="401">
        <f xml:space="preserve"> ROUND( BC13 / 12, BD$7 )</f>
        <v>3.88</v>
      </c>
      <c r="BI13" s="24" t="s">
        <v>32</v>
      </c>
      <c r="BJ13" s="246" t="s">
        <v>16</v>
      </c>
      <c r="BK13" s="296">
        <f xml:space="preserve"> ROUND( BL13 * BS24, -1 )</f>
        <v>110</v>
      </c>
      <c r="BL13" s="294">
        <f xml:space="preserve"> BL9</f>
        <v>5250</v>
      </c>
      <c r="BM13" s="18">
        <f xml:space="preserve"> ROUND( BK13 / BL13, 3 )</f>
        <v>2.1000000000000001E-2</v>
      </c>
      <c r="BN13" s="293">
        <f xml:space="preserve"> BN9</f>
        <v>210</v>
      </c>
      <c r="BO13" s="297">
        <f xml:space="preserve"> ROUND( BK13 / BN13, BO$5 )</f>
        <v>0.52</v>
      </c>
      <c r="BP13" s="302">
        <v>0.03</v>
      </c>
      <c r="BQ13" s="301">
        <f xml:space="preserve"> BQ28</f>
        <v>32.11</v>
      </c>
      <c r="BR13" s="304">
        <f xml:space="preserve"> ROUND( BK13 / ( BN13 * BQ13 ), BR$5 )</f>
        <v>1.6E-2</v>
      </c>
      <c r="BS13" s="306">
        <f xml:space="preserve"> ROUND( MAX( BR13 + 0.01, BR13 * 1.05 ), BS$5 )</f>
        <v>0.03</v>
      </c>
      <c r="BT13" s="20" t="str">
        <f xml:space="preserve">  IF( BP13&gt;BS13, "zu groß!",  IF( BP13&lt;BS13, "zu gering!", iO  ) )</f>
        <v>i.O.</v>
      </c>
      <c r="BV13" s="310"/>
      <c r="BW13" s="310"/>
      <c r="BX13" s="310"/>
      <c r="CA13" s="24">
        <f xml:space="preserve"> EING!B13</f>
        <v>4</v>
      </c>
      <c r="CB13" s="246" t="str">
        <f xml:space="preserve"> EING!D13</f>
        <v>x_s</v>
      </c>
      <c r="CC13" s="267" t="str">
        <f xml:space="preserve"> EING!E13</f>
        <v>s</v>
      </c>
      <c r="CD13" s="26">
        <f xml:space="preserve"> R13</f>
        <v>1.67</v>
      </c>
      <c r="CE13" s="26">
        <f t="shared" si="4"/>
        <v>34.979999999999997</v>
      </c>
      <c r="CF13" s="268">
        <f t="shared" si="4"/>
        <v>0.106</v>
      </c>
      <c r="CG13" s="258">
        <f xml:space="preserve"> INDEX( $BN$28:$BN$29, MATCH( $CC13, $BK$28:$BK$29, 0 )   )</f>
        <v>0.14000000000000001</v>
      </c>
      <c r="CH13" s="269">
        <f xml:space="preserve"> AG13</f>
        <v>1</v>
      </c>
      <c r="CI13" s="26">
        <f xml:space="preserve"> ROUND( $CE$11 / ( 1 - CF13 - CG13 - $CH$11 / ( 12 * $CD$11 ) ),  CI$6  )</f>
        <v>30.73</v>
      </c>
      <c r="CJ13" s="265">
        <f xml:space="preserve"> ROUND(   (  12 * CD13 * ( 1 - CF13 )  )  /  (  12 * CD13 * ( 1 - CF13 )  -  CH13  ),  CJ$6  )</f>
        <v>1.06</v>
      </c>
      <c r="CK13" s="27">
        <f xml:space="preserve"> ROUND( CJ13 * CE13 + ( CJ13 - 1 ) * CG13 * CI13, CK$6 )</f>
        <v>37.340000000000003</v>
      </c>
      <c r="CM13" s="356">
        <f xml:space="preserve"> CA13</f>
        <v>4</v>
      </c>
      <c r="CN13" s="357" t="str">
        <f xml:space="preserve"> CB13</f>
        <v>x_s</v>
      </c>
      <c r="CO13" s="358" t="str">
        <f xml:space="preserve"> CC13</f>
        <v>s</v>
      </c>
      <c r="CP13" s="359">
        <f t="shared" si="6"/>
        <v>0.106</v>
      </c>
      <c r="CQ13" s="360">
        <f t="shared" si="6"/>
        <v>0.14000000000000001</v>
      </c>
      <c r="CR13" s="361">
        <f xml:space="preserve"> CI13</f>
        <v>30.73</v>
      </c>
      <c r="CS13" s="361">
        <f xml:space="preserve"> CK13</f>
        <v>37.340000000000003</v>
      </c>
      <c r="CT13" s="404">
        <f xml:space="preserve"> ROUND( ( CS13 + CQ13 * CR13 ) / ( 1 - CP13 ), CT$6 )</f>
        <v>46.58</v>
      </c>
      <c r="CU13" s="405">
        <f xml:space="preserve"> ROUND( CT13 / 12, CU$6 )</f>
        <v>3.88</v>
      </c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</row>
    <row r="14" spans="2:123" ht="12.5" customHeight="1" x14ac:dyDescent="0.15">
      <c r="B14" s="253">
        <f xml:space="preserve"> EING!B14</f>
        <v>5</v>
      </c>
      <c r="C14" s="32">
        <f xml:space="preserve"> sx!O14</f>
        <v>50</v>
      </c>
      <c r="D14" s="282">
        <f xml:space="preserve"> ROUND( D$6 ^ B14, D$4 )</f>
        <v>0.88380000000000003</v>
      </c>
      <c r="E14" s="41">
        <f xml:space="preserve"> ROUND( C14 * D14, E$4 )</f>
        <v>44.19</v>
      </c>
      <c r="F14" s="41">
        <f xml:space="preserve"> ROUND( SUM( E14:E$14 ), F$4 )</f>
        <v>44.19</v>
      </c>
      <c r="G14" s="284">
        <f xml:space="preserve"> IF(  $J14=0,  1,  ROUND( F14 / $J14, G$4 )  )</f>
        <v>1</v>
      </c>
      <c r="I14" s="253">
        <f xml:space="preserve"> EING!B14</f>
        <v>5</v>
      </c>
      <c r="J14" s="280">
        <f xml:space="preserve"> E14</f>
        <v>44.19</v>
      </c>
      <c r="K14" s="280">
        <f xml:space="preserve"> Kx!BC14</f>
        <v>50</v>
      </c>
      <c r="L14" s="41">
        <f xml:space="preserve"> ROUND( Kx!BC14 * E14, L$7 )</f>
        <v>2209.5</v>
      </c>
      <c r="M14" s="41">
        <f xml:space="preserve"> ROUND( SUM( L14:L$14 ), M$7 )</f>
        <v>2209.5</v>
      </c>
      <c r="N14" s="284">
        <f xml:space="preserve"> IF(  $J14=0,  K14,  ROUND( M14 / $J14, N$7 )  )</f>
        <v>50</v>
      </c>
      <c r="P14" s="253">
        <f xml:space="preserve"> EING!B14</f>
        <v>5</v>
      </c>
      <c r="Q14" s="41">
        <f xml:space="preserve"> N14</f>
        <v>50</v>
      </c>
      <c r="R14" s="41">
        <f xml:space="preserve"> G14</f>
        <v>1</v>
      </c>
      <c r="S14" s="284">
        <f xml:space="preserve"> IF(  R14=0,  Q14,  ROUND( Q14 / R14, S$7 )  )</f>
        <v>50</v>
      </c>
      <c r="U14" s="22">
        <f xml:space="preserve"> EING!B14</f>
        <v>5</v>
      </c>
      <c r="V14" s="288">
        <f xml:space="preserve"> G14</f>
        <v>1</v>
      </c>
      <c r="W14" s="286">
        <f xml:space="preserve"> AG14 * AI14</f>
        <v>0</v>
      </c>
      <c r="X14" s="288">
        <f xml:space="preserve"> ROUND(  W14 / V14, X$7 )</f>
        <v>0</v>
      </c>
      <c r="Z14" s="22">
        <f xml:space="preserve"> EING!B14</f>
        <v>5</v>
      </c>
      <c r="AA14" s="247" t="str">
        <f xml:space="preserve"> EING!C14</f>
        <v>x_ω</v>
      </c>
      <c r="AB14" s="23" t="str">
        <f xml:space="preserve"> EING!E14</f>
        <v>s</v>
      </c>
      <c r="AC14" s="41">
        <f xml:space="preserve"> G14</f>
        <v>1</v>
      </c>
      <c r="AD14" s="42">
        <f xml:space="preserve"> S14</f>
        <v>50</v>
      </c>
      <c r="AE14" s="276">
        <f xml:space="preserve"> INDEX( $BM$28:$BM$29, MATCH( $AB14, $BK$28:$BK$29, 0 )   )</f>
        <v>0.106</v>
      </c>
      <c r="AF14" s="261">
        <f xml:space="preserve"> INDEX( $BR$28:$BR$29, MATCH( $AB14, $BK$28:$BK$29, 0 )   )</f>
        <v>4.3</v>
      </c>
      <c r="AG14" s="273">
        <v>0</v>
      </c>
      <c r="AH14" s="262">
        <f xml:space="preserve"> ROUND(     (  AD14 + AF14  )  /  (  1 - AE14 - AG14 / ( 12 * AC14 )  ),    AH$7    )</f>
        <v>60.74</v>
      </c>
      <c r="AI14" s="263">
        <f xml:space="preserve"> ROUND( AH14 / 12, AI$7 )</f>
        <v>5.0599999999999996</v>
      </c>
      <c r="AK14" s="126">
        <f xml:space="preserve"> EING!B14</f>
        <v>5</v>
      </c>
      <c r="AL14" s="130" t="str">
        <f xml:space="preserve"> EING!C14</f>
        <v>x_ω</v>
      </c>
      <c r="AM14" s="133" t="str">
        <f xml:space="preserve"> EING!E14</f>
        <v>s</v>
      </c>
      <c r="AN14" s="324">
        <f xml:space="preserve"> R14</f>
        <v>1</v>
      </c>
      <c r="AO14" s="325">
        <f t="shared" si="3"/>
        <v>50</v>
      </c>
      <c r="AP14" s="326">
        <f t="shared" si="3"/>
        <v>0.106</v>
      </c>
      <c r="AQ14" s="327">
        <f t="shared" si="3"/>
        <v>4.3</v>
      </c>
      <c r="AR14" s="328">
        <f t="shared" si="3"/>
        <v>0</v>
      </c>
      <c r="AS14" s="329">
        <f xml:space="preserve"> ROUND(   (  12 * AN14 * ( 1 - AP14 )  )  /  (  12 * AN14 * ( 1 - AP14 )  -  AR14  ),  AS$7  )</f>
        <v>1</v>
      </c>
      <c r="AT14" s="325">
        <f xml:space="preserve"> ROUND( AS14 * AO14 + ( AS14 - 1 ) *AQ14, AT$7 )</f>
        <v>50</v>
      </c>
      <c r="AU14" s="331"/>
      <c r="AV14" s="331"/>
      <c r="AW14" s="348">
        <f t="shared" si="0"/>
        <v>5</v>
      </c>
      <c r="AX14" s="349" t="str">
        <f t="shared" si="1"/>
        <v>x_ω</v>
      </c>
      <c r="AY14" s="227" t="str">
        <f xml:space="preserve"> AM14</f>
        <v>s</v>
      </c>
      <c r="AZ14" s="350">
        <f xml:space="preserve"> AP14</f>
        <v>0.106</v>
      </c>
      <c r="BA14" s="351">
        <f t="shared" si="2"/>
        <v>4.3</v>
      </c>
      <c r="BB14" s="352">
        <f xml:space="preserve"> AT14</f>
        <v>50</v>
      </c>
      <c r="BC14" s="402">
        <f xml:space="preserve"> ROUND( ( BB14 + BA14 ) / ( 1 - AZ14 ), BC$7 )</f>
        <v>60.74</v>
      </c>
      <c r="BD14" s="403">
        <f xml:space="preserve"> ROUND( BC14 / 12, BD$7 )</f>
        <v>5.0599999999999996</v>
      </c>
      <c r="BI14" s="11"/>
      <c r="BJ14" s="12"/>
      <c r="BK14" s="11"/>
      <c r="BL14" s="12"/>
      <c r="BM14" s="12"/>
      <c r="BN14" s="12"/>
      <c r="BO14" s="13"/>
      <c r="BP14" s="11"/>
      <c r="BQ14" s="13"/>
      <c r="BR14" s="254"/>
      <c r="BS14" s="11"/>
      <c r="BT14" s="13"/>
      <c r="BV14" s="310"/>
      <c r="BW14" s="310"/>
      <c r="BX14" s="310"/>
      <c r="CA14" s="22">
        <f xml:space="preserve"> EING!B14</f>
        <v>5</v>
      </c>
      <c r="CB14" s="247" t="str">
        <f xml:space="preserve"> EING!D14</f>
        <v>x_ω</v>
      </c>
      <c r="CC14" s="23" t="str">
        <f xml:space="preserve"> EING!E14</f>
        <v>s</v>
      </c>
      <c r="CD14" s="41">
        <f xml:space="preserve"> R14</f>
        <v>1</v>
      </c>
      <c r="CE14" s="41">
        <f t="shared" si="4"/>
        <v>50</v>
      </c>
      <c r="CF14" s="271">
        <f t="shared" si="4"/>
        <v>0.106</v>
      </c>
      <c r="CG14" s="272">
        <f xml:space="preserve"> INDEX( $BN$28:$BN$29, MATCH( $CC14, $BK$28:$BK$29, 0 )   )</f>
        <v>0.14000000000000001</v>
      </c>
      <c r="CH14" s="273">
        <f xml:space="preserve"> AG14</f>
        <v>0</v>
      </c>
      <c r="CI14" s="41">
        <f xml:space="preserve"> ROUND( $CE$11 / ( 1 - CF14 - CG14 - $CH$11 / ( 12 * $CD$11 ) ),  CI$6  )</f>
        <v>30.73</v>
      </c>
      <c r="CJ14" s="266">
        <f xml:space="preserve"> ROUND(   (  12 * CD14 * ( 1 - CF14 )  )  /  (  12 * CD14 * ( 1 - CF14 )  -  CH14  ),  CJ$6  )</f>
        <v>1</v>
      </c>
      <c r="CK14" s="42">
        <f xml:space="preserve"> ROUND( CJ14 * CE14 + ( CJ14 - 1 ) * CG14 * CI14, CK$6 )</f>
        <v>50</v>
      </c>
      <c r="CM14" s="364">
        <f xml:space="preserve"> CA14</f>
        <v>5</v>
      </c>
      <c r="CN14" s="365" t="str">
        <f xml:space="preserve"> CB14</f>
        <v>x_ω</v>
      </c>
      <c r="CO14" s="366" t="str">
        <f xml:space="preserve"> CC14</f>
        <v>s</v>
      </c>
      <c r="CP14" s="367">
        <f t="shared" si="6"/>
        <v>0.106</v>
      </c>
      <c r="CQ14" s="368">
        <f t="shared" si="6"/>
        <v>0.14000000000000001</v>
      </c>
      <c r="CR14" s="369">
        <f xml:space="preserve"> CI14</f>
        <v>30.73</v>
      </c>
      <c r="CS14" s="369">
        <f xml:space="preserve"> CK14</f>
        <v>50</v>
      </c>
      <c r="CT14" s="404">
        <f xml:space="preserve"> ROUND( ( CS14 + CQ14 * CR14 ) / ( 1 - CP14 ), CT$6 )</f>
        <v>60.74</v>
      </c>
      <c r="CU14" s="406">
        <f xml:space="preserve"> ROUND( CT14 / 12, CU$6 )</f>
        <v>5.0599999999999996</v>
      </c>
      <c r="CY14" s="95"/>
      <c r="CZ14" s="95"/>
      <c r="DA14" s="95"/>
      <c r="DB14" s="95"/>
      <c r="DC14" s="95"/>
      <c r="DD14" s="95"/>
      <c r="DE14" s="95"/>
      <c r="DL14" s="95"/>
      <c r="DM14" s="95"/>
    </row>
    <row r="15" spans="2:123" ht="12.5" customHeight="1" x14ac:dyDescent="0.15">
      <c r="AD15" s="34"/>
      <c r="BI15" s="22" t="s">
        <v>7</v>
      </c>
      <c r="BJ15" s="247" t="s">
        <v>7</v>
      </c>
      <c r="BK15" s="298">
        <f xml:space="preserve"> BK11 + BK13</f>
        <v>1740</v>
      </c>
      <c r="BL15" s="29">
        <f xml:space="preserve"> BL11 + BL13</f>
        <v>20500</v>
      </c>
      <c r="BM15" s="30"/>
      <c r="BN15" s="29"/>
      <c r="BO15" s="299"/>
      <c r="BP15" s="28"/>
      <c r="BQ15" s="303"/>
      <c r="BR15" s="305"/>
      <c r="BS15" s="22" t="s">
        <v>238</v>
      </c>
      <c r="BT15" s="33">
        <f xml:space="preserve"> BX31</f>
        <v>1995</v>
      </c>
      <c r="BV15" s="310"/>
      <c r="BW15" s="310"/>
      <c r="BX15" s="310"/>
      <c r="CA15" s="277"/>
      <c r="CB15" s="278"/>
      <c r="CC15" s="278"/>
      <c r="CD15" s="278"/>
      <c r="CE15" s="278"/>
      <c r="CF15" s="278"/>
      <c r="CG15" s="278"/>
      <c r="CH15" s="278"/>
      <c r="CI15" s="278"/>
      <c r="CJ15" s="278"/>
      <c r="CK15" s="353" t="s">
        <v>49</v>
      </c>
      <c r="CM15" s="370"/>
      <c r="CN15" s="371"/>
      <c r="CO15" s="371"/>
      <c r="CP15" s="371"/>
      <c r="CQ15" s="371"/>
      <c r="CR15" s="371"/>
      <c r="CS15" s="371"/>
      <c r="CT15" s="371"/>
      <c r="CU15" s="372" t="str">
        <f xml:space="preserve"> CK15</f>
        <v>Abweichungen auf Grund von Rundungen (algebraische Gleichheit)</v>
      </c>
      <c r="DE15" s="95"/>
      <c r="DL15" s="95"/>
      <c r="DM15" s="95"/>
    </row>
    <row r="16" spans="2:123" ht="12.5" customHeight="1" x14ac:dyDescent="0.15">
      <c r="AD16" s="34"/>
      <c r="BI16" s="35" t="str">
        <f xml:space="preserve"> "*) Maximum aus 1 Prozentpunkt oder 5 Prozent höher als " &amp; SUBSTITUTE( CLEAN( BR6 ), " ", "" ) &amp; " auf ganze Prozentpunkte gerundet ‒ aus Gründen der Vorsicht"</f>
        <v>*) Maximum aus 1 Prozentpunkt oder 5 Prozent höher als Δ~^r^quer auf ganze Prozentpunkte gerundet ‒ aus Gründen der Vorsicht</v>
      </c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7"/>
      <c r="BV16" s="310"/>
      <c r="BW16" s="310"/>
      <c r="BX16" s="310"/>
      <c r="CA16" s="2"/>
      <c r="CB16" s="1"/>
      <c r="CK16" s="56"/>
      <c r="DE16" s="95"/>
      <c r="DL16" s="95"/>
      <c r="DM16" s="95"/>
    </row>
    <row r="17" spans="2:127" ht="12.5" customHeight="1" x14ac:dyDescent="0.15">
      <c r="BI17" s="38" t="str">
        <f xml:space="preserve"> "°) Mittels Iteration, sodass " &amp; BJ2 &amp; " &gt;= " &amp; BI2</f>
        <v>°) Mittels Iteration, sodass Δ~^r_j/s &gt;= Zielwert</v>
      </c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40"/>
      <c r="BV17" s="310"/>
      <c r="BW17" s="310"/>
      <c r="BX17" s="310"/>
      <c r="DE17" s="95"/>
      <c r="DF17" s="151" t="str">
        <f xml:space="preserve"> EING!$B$3</f>
        <v>Rundungsstellen</v>
      </c>
      <c r="DG17" s="136"/>
      <c r="DH17" s="136"/>
      <c r="DI17" s="136"/>
      <c r="DJ17" s="136"/>
      <c r="DK17" s="311">
        <v>2</v>
      </c>
      <c r="DL17" s="95"/>
      <c r="DM17" s="95"/>
    </row>
    <row r="18" spans="2:127" ht="12.5" customHeight="1" x14ac:dyDescent="0.15">
      <c r="AC18" s="1"/>
      <c r="AD18" s="1"/>
      <c r="AE18" s="1"/>
      <c r="AF18" s="1"/>
      <c r="AG18" s="1"/>
      <c r="AH18" s="1"/>
      <c r="BR18" s="58"/>
      <c r="DE18" s="95"/>
      <c r="DF18" s="395"/>
      <c r="DG18" s="330" t="s">
        <v>45</v>
      </c>
      <c r="DH18" s="330" t="str">
        <f xml:space="preserve"> BK6</f>
        <v>∑Γ^</v>
      </c>
      <c r="DI18" s="330" t="str">
        <f xml:space="preserve"> BL6</f>
        <v>∑B^</v>
      </c>
      <c r="DJ18" s="330" t="str">
        <f xml:space="preserve"> BM6</f>
        <v>Δ~^</v>
      </c>
      <c r="DK18" s="339" t="s">
        <v>244</v>
      </c>
      <c r="DL18" s="95"/>
      <c r="DM18" s="95"/>
    </row>
    <row r="19" spans="2:127" ht="12.5" customHeight="1" x14ac:dyDescent="0.2">
      <c r="Z19" s="289"/>
      <c r="AA19" s="245"/>
      <c r="AB19" s="245"/>
      <c r="AC19" s="245"/>
      <c r="AD19" s="245"/>
      <c r="AE19" s="245"/>
      <c r="BI19" s="307"/>
      <c r="CX19" s="25"/>
      <c r="DE19" s="95"/>
      <c r="DF19" s="342"/>
      <c r="DG19" s="218"/>
      <c r="DH19" s="218"/>
      <c r="DI19" s="218"/>
      <c r="DJ19" s="218"/>
      <c r="DK19" s="230"/>
      <c r="DL19" s="95"/>
      <c r="DM19" s="95"/>
    </row>
    <row r="20" spans="2:127" ht="12.5" customHeight="1" x14ac:dyDescent="0.15">
      <c r="Z20" s="246"/>
      <c r="AA20" s="245"/>
      <c r="AB20" s="245"/>
      <c r="AC20" s="245"/>
      <c r="AD20" s="245"/>
      <c r="AE20" s="245"/>
      <c r="DE20" s="95"/>
      <c r="DF20" s="976" t="str">
        <f xml:space="preserve"> BI28</f>
        <v>α^u, α^m, ρ, β</v>
      </c>
      <c r="DG20" s="977"/>
      <c r="DH20" s="396">
        <f xml:space="preserve">  ROUND( ( BK11 / BL11 + BK13 / BL13 ) * DI20, -1 )</f>
        <v>770</v>
      </c>
      <c r="DI20" s="397">
        <v>6000</v>
      </c>
      <c r="DJ20" s="398">
        <f xml:space="preserve"> DH20 / DI20</f>
        <v>0.12833333333333333</v>
      </c>
      <c r="DK20" s="399">
        <f xml:space="preserve"> ROUND( MAX( DJ20 + 0.01, DJ20 * 1.05 ), $DK17 )</f>
        <v>0.14000000000000001</v>
      </c>
      <c r="DL20" s="95"/>
      <c r="DM20" s="95"/>
    </row>
    <row r="21" spans="2:127" ht="12.5" customHeight="1" x14ac:dyDescent="0.15">
      <c r="Z21" s="246"/>
      <c r="AA21" s="290"/>
      <c r="AB21" s="291"/>
      <c r="AC21" s="16"/>
      <c r="AD21" s="12"/>
      <c r="AE21" s="12"/>
      <c r="BI21" s="151" t="str">
        <f xml:space="preserve"> EING!$B$3</f>
        <v>Rundungsstellen</v>
      </c>
      <c r="BJ21" s="136"/>
      <c r="BK21" s="136"/>
      <c r="BL21" s="136"/>
      <c r="BM21" s="136"/>
      <c r="BN21" s="136"/>
      <c r="BO21" s="136"/>
      <c r="BP21" s="136"/>
      <c r="BQ21" s="61">
        <v>2</v>
      </c>
      <c r="BR21" s="61">
        <v>2</v>
      </c>
      <c r="BS21" s="3">
        <f xml:space="preserve"> $BO$5</f>
        <v>2</v>
      </c>
      <c r="BT21" s="3">
        <f xml:space="preserve"> $BO$5</f>
        <v>2</v>
      </c>
      <c r="BU21" s="3">
        <f xml:space="preserve"> $BO$5</f>
        <v>2</v>
      </c>
      <c r="BV21" s="3">
        <f xml:space="preserve"> $BO$5</f>
        <v>2</v>
      </c>
      <c r="BW21" s="136"/>
      <c r="BX21" s="136"/>
      <c r="DE21" s="95"/>
      <c r="DF21" s="97"/>
      <c r="DG21" s="96"/>
      <c r="DH21" s="96"/>
      <c r="DI21" s="96"/>
      <c r="DJ21" s="96"/>
      <c r="DK21" s="99"/>
      <c r="DL21" s="95"/>
      <c r="DM21" s="95"/>
    </row>
    <row r="22" spans="2:127" ht="12.5" customHeight="1" x14ac:dyDescent="0.2">
      <c r="Z22" s="246"/>
      <c r="AA22" s="26"/>
      <c r="AB22" s="257"/>
      <c r="AC22" s="16"/>
      <c r="AD22" s="16"/>
      <c r="AE22" s="16"/>
      <c r="BI22" s="934" t="str">
        <f xml:space="preserve"> BI6</f>
        <v>Kostenart</v>
      </c>
      <c r="BJ22" s="959"/>
      <c r="BK22" s="936" t="str">
        <f xml:space="preserve"> EING!E8</f>
        <v>j/s</v>
      </c>
      <c r="BL22" s="932" t="s">
        <v>43</v>
      </c>
      <c r="BM22" s="941" t="s">
        <v>121</v>
      </c>
      <c r="BN22" s="938" t="s">
        <v>122</v>
      </c>
      <c r="BO22" s="941" t="s">
        <v>123</v>
      </c>
      <c r="BP22" s="941" t="s">
        <v>44</v>
      </c>
      <c r="BQ22" s="946" t="s">
        <v>25</v>
      </c>
      <c r="BR22" s="944" t="s">
        <v>124</v>
      </c>
      <c r="BS22" s="21" t="s">
        <v>32</v>
      </c>
      <c r="BT22" s="21" t="s">
        <v>84</v>
      </c>
      <c r="BU22" s="410" t="s">
        <v>248</v>
      </c>
      <c r="BV22" s="21" t="s">
        <v>85</v>
      </c>
      <c r="BW22" s="932" t="str">
        <f xml:space="preserve"> BN6</f>
        <v>∑L^</v>
      </c>
      <c r="BX22" s="944" t="s">
        <v>46</v>
      </c>
      <c r="CY22" s="95"/>
      <c r="CZ22" s="95"/>
      <c r="DA22" s="95"/>
      <c r="DB22" s="95"/>
      <c r="DC22" s="95"/>
      <c r="DD22" s="218"/>
      <c r="DE22" s="95"/>
      <c r="DF22" s="973" t="s">
        <v>38</v>
      </c>
      <c r="DG22" s="974"/>
      <c r="DH22" s="974"/>
      <c r="DI22" s="974"/>
      <c r="DJ22" s="974"/>
      <c r="DK22" s="975"/>
      <c r="DL22" s="95"/>
      <c r="DM22" s="95"/>
    </row>
    <row r="23" spans="2:127" ht="12.5" customHeight="1" x14ac:dyDescent="0.15">
      <c r="Z23" s="246"/>
      <c r="AA23" s="26"/>
      <c r="AB23" s="26"/>
      <c r="AC23" s="16"/>
      <c r="AD23" s="16"/>
      <c r="AE23" s="16"/>
      <c r="BI23" s="960"/>
      <c r="BJ23" s="961"/>
      <c r="BK23" s="955"/>
      <c r="BL23" s="948"/>
      <c r="BM23" s="949"/>
      <c r="BN23" s="964"/>
      <c r="BO23" s="949"/>
      <c r="BP23" s="949"/>
      <c r="BQ23" s="957"/>
      <c r="BR23" s="953"/>
      <c r="BS23" s="952" t="s">
        <v>86</v>
      </c>
      <c r="BT23" s="952"/>
      <c r="BU23" s="952"/>
      <c r="BV23" s="952"/>
      <c r="BW23" s="948"/>
      <c r="BX23" s="953"/>
      <c r="DD23" s="25"/>
      <c r="DF23" s="966" t="str">
        <f xml:space="preserve"> DK18 &amp; " als Maximum aus 1 Prozentpunkt oder 5 Prozent höher als " &amp; DJ18 &amp; " auf ganze Prozentpunkte gerundet"</f>
        <v>Δ~ als Maximum aus 1 Prozentpunkt oder 5 Prozent höher als Δ~^ auf ganze Prozentpunkte gerundet</v>
      </c>
      <c r="DG23" s="967"/>
      <c r="DH23" s="967"/>
      <c r="DI23" s="967"/>
      <c r="DJ23" s="967"/>
      <c r="DK23" s="968"/>
    </row>
    <row r="24" spans="2:127" s="51" customFormat="1" ht="12.5" customHeight="1" x14ac:dyDescent="0.15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Z24" s="246"/>
      <c r="AA24" s="26"/>
      <c r="AB24" s="26"/>
      <c r="AC24" s="16"/>
      <c r="AD24" s="16"/>
      <c r="AE24" s="16"/>
      <c r="AF24" s="2"/>
      <c r="AG24" s="2"/>
      <c r="AU24" s="25"/>
      <c r="AV24" s="25"/>
      <c r="AW24" s="25"/>
      <c r="AX24" s="25"/>
      <c r="AY24" s="25"/>
      <c r="AZ24" s="25"/>
      <c r="BA24" s="25"/>
      <c r="BB24" s="25"/>
      <c r="BI24" s="962"/>
      <c r="BJ24" s="963"/>
      <c r="BK24" s="956"/>
      <c r="BL24" s="950"/>
      <c r="BM24" s="951"/>
      <c r="BN24" s="965"/>
      <c r="BO24" s="951"/>
      <c r="BP24" s="951"/>
      <c r="BQ24" s="958"/>
      <c r="BR24" s="954"/>
      <c r="BS24" s="43">
        <v>0.02</v>
      </c>
      <c r="BT24" s="43">
        <v>4.4999999999999998E-2</v>
      </c>
      <c r="BU24" s="43">
        <v>3.9E-2</v>
      </c>
      <c r="BV24" s="43">
        <v>2.3E-2</v>
      </c>
      <c r="BW24" s="950" t="str">
        <f xml:space="preserve"> BN6</f>
        <v>∑L^</v>
      </c>
      <c r="BX24" s="954"/>
      <c r="DD24" s="25"/>
      <c r="DF24" s="969"/>
      <c r="DG24" s="970"/>
      <c r="DH24" s="970"/>
      <c r="DI24" s="970"/>
      <c r="DJ24" s="970"/>
      <c r="DK24" s="971"/>
      <c r="DQ24" s="2"/>
      <c r="DR24" s="2"/>
      <c r="DS24" s="2"/>
      <c r="DT24" s="2"/>
      <c r="DU24" s="2"/>
      <c r="DV24" s="2"/>
      <c r="DW24" s="2"/>
    </row>
    <row r="25" spans="2:127" ht="12.5" customHeight="1" x14ac:dyDescent="0.15">
      <c r="Z25" s="246"/>
      <c r="AA25" s="26"/>
      <c r="AB25" s="257"/>
      <c r="AC25" s="16"/>
      <c r="AD25" s="16"/>
      <c r="AE25" s="16"/>
      <c r="BI25" s="11"/>
      <c r="BJ25" s="12"/>
      <c r="BK25" s="13"/>
      <c r="BL25" s="11"/>
      <c r="BM25" s="12"/>
      <c r="BN25" s="12"/>
      <c r="BO25" s="12"/>
      <c r="BP25" s="245"/>
      <c r="BQ25" s="254"/>
      <c r="BR25" s="13"/>
      <c r="BS25" s="952" t="str">
        <f xml:space="preserve"> " Kosten bzgl. " &amp; BQ22</f>
        <v xml:space="preserve"> Kosten bzgl. B^Z ^r _j/s</v>
      </c>
      <c r="BT25" s="952"/>
      <c r="BU25" s="952"/>
      <c r="BV25" s="952"/>
      <c r="BW25" s="11"/>
      <c r="BX25" s="13"/>
      <c r="DD25" s="25"/>
    </row>
    <row r="26" spans="2:127" s="51" customFormat="1" ht="12.5" customHeight="1" x14ac:dyDescent="0.15">
      <c r="B26" s="52"/>
      <c r="H26" s="53"/>
      <c r="J26" s="4"/>
      <c r="K26" s="4"/>
      <c r="L26" s="2"/>
      <c r="M26" s="2"/>
      <c r="Z26" s="246"/>
      <c r="AA26" s="26"/>
      <c r="AB26" s="257"/>
      <c r="AC26" s="16"/>
      <c r="AD26" s="16"/>
      <c r="AE26" s="16"/>
      <c r="AF26" s="2"/>
      <c r="AG26" s="2"/>
      <c r="AU26" s="25"/>
      <c r="AV26" s="25"/>
      <c r="AW26" s="25"/>
      <c r="AX26" s="25"/>
      <c r="AY26" s="25"/>
      <c r="AZ26" s="25"/>
      <c r="BA26" s="25"/>
      <c r="BB26" s="25"/>
      <c r="BI26" s="11"/>
      <c r="BJ26" s="12"/>
      <c r="BK26" s="13"/>
      <c r="BL26" s="11"/>
      <c r="BM26" s="12"/>
      <c r="BN26" s="12"/>
      <c r="BO26" s="12"/>
      <c r="BP26" s="12"/>
      <c r="BQ26" s="254"/>
      <c r="BR26" s="13"/>
      <c r="BS26" s="44">
        <f xml:space="preserve"> BP13</f>
        <v>0.03</v>
      </c>
      <c r="BT26" s="18">
        <f xml:space="preserve"> BP11 - SUM(BU26:BV26 )</f>
        <v>5.9000000000000025E-2</v>
      </c>
      <c r="BU26" s="18">
        <f xml:space="preserve"> ROUND( $BP$11 * BU24 / SUM( $BT$24:$BV$24 ), 3 )</f>
        <v>5.0999999999999997E-2</v>
      </c>
      <c r="BV26" s="18">
        <f xml:space="preserve"> ROUND( $BP$11 * BV24 / SUM( $BT$24:$BV$24 ), 3 )</f>
        <v>0.03</v>
      </c>
      <c r="BW26" s="11"/>
      <c r="BX26" s="13"/>
      <c r="CC26" s="53"/>
      <c r="CD26" s="53"/>
      <c r="CE26" s="53"/>
      <c r="CJ26" s="53"/>
      <c r="CK26" s="53"/>
      <c r="DD26" s="25"/>
    </row>
    <row r="27" spans="2:127" s="51" customFormat="1" ht="12.5" customHeight="1" x14ac:dyDescent="0.15">
      <c r="B27" s="52"/>
      <c r="H27" s="53"/>
      <c r="J27" s="55"/>
      <c r="K27" s="55"/>
      <c r="AG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334"/>
      <c r="AV27" s="334"/>
      <c r="AW27" s="334"/>
      <c r="AX27" s="334"/>
      <c r="AY27" s="334"/>
      <c r="AZ27" s="334"/>
      <c r="BA27" s="334"/>
      <c r="BB27" s="334"/>
      <c r="BC27" s="53"/>
      <c r="BD27" s="53"/>
      <c r="BE27" s="53"/>
      <c r="BF27" s="53"/>
      <c r="BG27" s="53"/>
      <c r="BI27" s="11"/>
      <c r="BJ27" s="12"/>
      <c r="BK27" s="13"/>
      <c r="BL27" s="11"/>
      <c r="BM27" s="12"/>
      <c r="BN27" s="12"/>
      <c r="BO27" s="12"/>
      <c r="BP27" s="12"/>
      <c r="BQ27" s="254"/>
      <c r="BR27" s="13"/>
      <c r="BS27" s="12"/>
      <c r="BT27" s="12"/>
      <c r="BU27" s="12"/>
      <c r="BV27" s="12"/>
      <c r="BW27" s="11"/>
      <c r="BX27" s="13"/>
      <c r="CC27" s="53"/>
      <c r="CD27" s="53"/>
      <c r="CE27" s="53"/>
      <c r="CJ27" s="53"/>
      <c r="CK27" s="53"/>
      <c r="DD27" s="25"/>
    </row>
    <row r="28" spans="2:127" ht="12.5" customHeight="1" x14ac:dyDescent="0.15">
      <c r="BI28" s="948" t="str">
        <f xml:space="preserve"> BI13 &amp; ", " &amp; BI9</f>
        <v>α^u, α^m, ρ, β</v>
      </c>
      <c r="BJ28" s="949"/>
      <c r="BK28" s="267" t="s">
        <v>16</v>
      </c>
      <c r="BL28" s="308">
        <f xml:space="preserve"> $AD$11</f>
        <v>21.54</v>
      </c>
      <c r="BM28" s="45">
        <v>0.106</v>
      </c>
      <c r="BN28" s="46">
        <f xml:space="preserve"> BP11 + BP13</f>
        <v>0.17</v>
      </c>
      <c r="BO28" s="16">
        <f xml:space="preserve"> $AG$11</f>
        <v>2</v>
      </c>
      <c r="BP28" s="16">
        <f xml:space="preserve"> $AC$11</f>
        <v>3.14</v>
      </c>
      <c r="BQ28" s="283">
        <f xml:space="preserve"> ROUND( $BL$28 / ( 1 - BM28 - BN28 - BO28 / ( 12 * BP28 ) ), $BQ$21 )</f>
        <v>32.11</v>
      </c>
      <c r="BR28" s="259">
        <f xml:space="preserve"> ROUND( $BN28 * $BQ28, BR$21 )</f>
        <v>5.46</v>
      </c>
      <c r="BS28" s="48">
        <f xml:space="preserve"> ROUND( BS$26 * $BQ28, BS$21 )</f>
        <v>0.96</v>
      </c>
      <c r="BT28" s="48">
        <f xml:space="preserve"> ROUND( BT$26 * $BQ28, BT$21 )</f>
        <v>1.89</v>
      </c>
      <c r="BU28" s="48">
        <f xml:space="preserve"> ROUND( BU$26 * $BQ28, BU$21 )</f>
        <v>1.64</v>
      </c>
      <c r="BV28" s="48">
        <f xml:space="preserve"> ROUND( BV$26 * $BQ28, BV$21 )</f>
        <v>0.96</v>
      </c>
      <c r="BW28" s="309">
        <f xml:space="preserve"> BN11 - BN13</f>
        <v>200</v>
      </c>
      <c r="BX28" s="49">
        <f xml:space="preserve"> BR28 * BW28</f>
        <v>1092</v>
      </c>
      <c r="DD28" s="25"/>
    </row>
    <row r="29" spans="2:127" ht="12.5" customHeight="1" x14ac:dyDescent="0.15">
      <c r="BI29" s="948" t="str">
        <f xml:space="preserve"> BI9</f>
        <v>α^m, ρ, β</v>
      </c>
      <c r="BJ29" s="949" t="str">
        <f xml:space="preserve"> BI9</f>
        <v>α^m, ρ, β</v>
      </c>
      <c r="BK29" s="267" t="s">
        <v>17</v>
      </c>
      <c r="BL29" s="308">
        <f xml:space="preserve"> $AD$11</f>
        <v>21.54</v>
      </c>
      <c r="BM29" s="45">
        <v>0.106</v>
      </c>
      <c r="BN29" s="46">
        <f xml:space="preserve"> BP11</f>
        <v>0.14000000000000001</v>
      </c>
      <c r="BO29" s="16">
        <f xml:space="preserve"> $AG$11</f>
        <v>2</v>
      </c>
      <c r="BP29" s="16">
        <f xml:space="preserve"> $AC$11</f>
        <v>3.14</v>
      </c>
      <c r="BQ29" s="283">
        <f xml:space="preserve"> ROUND( $BL$28 / ( 1 - BM29 - BN29 - BO29 / ( 12 * BP29 ) ), $BQ$21 )</f>
        <v>30.73</v>
      </c>
      <c r="BR29" s="259">
        <f xml:space="preserve"> ROUND( $BN29 * $BQ29, BR$21 )</f>
        <v>4.3</v>
      </c>
      <c r="BS29" s="48" t="str">
        <f xml:space="preserve"> LEER</f>
        <v>.</v>
      </c>
      <c r="BT29" s="48">
        <f xml:space="preserve"> ROUND( BT$26 * $BQ29, BT$21 )</f>
        <v>1.81</v>
      </c>
      <c r="BU29" s="48">
        <f xml:space="preserve"> ROUND( BU$26 * $BQ29, BU$21 )</f>
        <v>1.57</v>
      </c>
      <c r="BV29" s="48">
        <f xml:space="preserve"> ROUND( BV$26 * $BQ29, BV$21 )</f>
        <v>0.92</v>
      </c>
      <c r="BW29" s="309">
        <f xml:space="preserve"> BN13</f>
        <v>210</v>
      </c>
      <c r="BX29" s="49">
        <f xml:space="preserve"> BR29 * BW29</f>
        <v>903</v>
      </c>
      <c r="DD29" s="25"/>
    </row>
    <row r="30" spans="2:127" s="51" customFormat="1" ht="12.5" customHeight="1" x14ac:dyDescent="0.15">
      <c r="AH30" s="53"/>
      <c r="AI30" s="53"/>
      <c r="AU30" s="25"/>
      <c r="AV30" s="25"/>
      <c r="AW30" s="25"/>
      <c r="AX30" s="25"/>
      <c r="AY30" s="25"/>
      <c r="AZ30" s="25"/>
      <c r="BA30" s="25"/>
      <c r="BB30" s="25"/>
      <c r="BI30" s="11"/>
      <c r="BJ30" s="12"/>
      <c r="BK30" s="13"/>
      <c r="BL30" s="11"/>
      <c r="BM30" s="12"/>
      <c r="BN30" s="12"/>
      <c r="BO30" s="12"/>
      <c r="BP30" s="12"/>
      <c r="BQ30" s="254"/>
      <c r="BR30" s="13"/>
      <c r="BS30" s="19"/>
      <c r="BT30" s="19"/>
      <c r="BU30" s="19"/>
      <c r="BV30" s="19"/>
      <c r="BW30" s="11"/>
      <c r="BX30" s="13"/>
      <c r="DD30" s="25"/>
    </row>
    <row r="31" spans="2:127" s="51" customFormat="1" ht="12.5" customHeight="1" x14ac:dyDescent="0.15">
      <c r="AG31" s="53"/>
      <c r="AU31" s="25"/>
      <c r="AV31" s="25"/>
      <c r="AW31" s="25"/>
      <c r="AX31" s="25"/>
      <c r="AY31" s="25"/>
      <c r="AZ31" s="25"/>
      <c r="BA31" s="25"/>
      <c r="BB31" s="25"/>
      <c r="BI31" s="28"/>
      <c r="BJ31" s="32"/>
      <c r="BK31" s="303"/>
      <c r="BL31" s="28"/>
      <c r="BM31" s="32"/>
      <c r="BN31" s="32"/>
      <c r="BO31" s="32"/>
      <c r="BP31" s="32"/>
      <c r="BQ31" s="305"/>
      <c r="BR31" s="303"/>
      <c r="BS31" s="31"/>
      <c r="BT31" s="31"/>
      <c r="BU31" s="31"/>
      <c r="BV31" s="31"/>
      <c r="BW31" s="22" t="s">
        <v>7</v>
      </c>
      <c r="BX31" s="54">
        <f xml:space="preserve"> SUM( BX28:BX29)</f>
        <v>1995</v>
      </c>
      <c r="DD31" s="25"/>
    </row>
    <row r="34" spans="21:98" ht="12.5" customHeight="1" x14ac:dyDescent="0.15">
      <c r="AA34" s="57"/>
      <c r="AB34" s="57"/>
    </row>
    <row r="35" spans="21:98" ht="12.5" customHeight="1" x14ac:dyDescent="0.15">
      <c r="U35" s="59"/>
      <c r="V35" s="59"/>
      <c r="W35" s="59"/>
      <c r="X35" s="59"/>
      <c r="Y35" s="59"/>
      <c r="Z35" s="59"/>
      <c r="AA35" s="57"/>
      <c r="AB35" s="57"/>
    </row>
    <row r="38" spans="21:98" ht="12.5" customHeight="1" x14ac:dyDescent="0.15">
      <c r="AD38" s="60"/>
    </row>
    <row r="39" spans="21:98" ht="12.5" customHeight="1" x14ac:dyDescent="0.15">
      <c r="AD39" s="60"/>
    </row>
    <row r="40" spans="21:98" ht="12.5" customHeight="1" x14ac:dyDescent="0.15">
      <c r="AD40" s="60"/>
    </row>
    <row r="41" spans="21:98" ht="12.5" customHeight="1" x14ac:dyDescent="0.15">
      <c r="AD41" s="60"/>
    </row>
    <row r="42" spans="21:98" ht="12.5" customHeight="1" x14ac:dyDescent="0.15">
      <c r="AD42" s="60"/>
    </row>
    <row r="44" spans="21:98" ht="12.5" customHeight="1" x14ac:dyDescent="0.15">
      <c r="CL44" s="1"/>
      <c r="CM44" s="1"/>
      <c r="CN44" s="1"/>
      <c r="CO44" s="1"/>
      <c r="CP44" s="1"/>
      <c r="CQ44" s="1"/>
      <c r="CR44" s="1"/>
      <c r="CS44" s="1"/>
      <c r="CT44" s="1"/>
    </row>
    <row r="47" spans="21:98" ht="12.5" customHeight="1" x14ac:dyDescent="0.15">
      <c r="CF47" s="51"/>
    </row>
    <row r="48" spans="21:98" ht="12.5" customHeight="1" x14ac:dyDescent="0.15">
      <c r="CF48" s="52"/>
    </row>
    <row r="49" spans="64:84" ht="12.5" customHeight="1" x14ac:dyDescent="0.15">
      <c r="CF49" s="34"/>
    </row>
    <row r="50" spans="64:84" ht="12.5" customHeight="1" x14ac:dyDescent="0.15">
      <c r="CF50" s="34"/>
    </row>
    <row r="59" spans="64:84" ht="12.5" customHeight="1" x14ac:dyDescent="0.15">
      <c r="BL59" s="56"/>
    </row>
    <row r="60" spans="64:84" ht="12.5" customHeight="1" x14ac:dyDescent="0.15">
      <c r="BL60" s="56"/>
    </row>
    <row r="81" spans="85:85" ht="12.5" customHeight="1" x14ac:dyDescent="0.15">
      <c r="CG81" s="1"/>
    </row>
  </sheetData>
  <mergeCells count="50">
    <mergeCell ref="DF22:DK22"/>
    <mergeCell ref="DF20:DG20"/>
    <mergeCell ref="CQ7:CQ8"/>
    <mergeCell ref="CR7:CR8"/>
    <mergeCell ref="CS7:CS8"/>
    <mergeCell ref="CK7:CK8"/>
    <mergeCell ref="DF23:DK24"/>
    <mergeCell ref="CH7:CH8"/>
    <mergeCell ref="BW22:BW24"/>
    <mergeCell ref="BX22:BX24"/>
    <mergeCell ref="CA7:CA8"/>
    <mergeCell ref="CB7:CB8"/>
    <mergeCell ref="CC7:CC8"/>
    <mergeCell ref="CD7:CD8"/>
    <mergeCell ref="CE7:CE8"/>
    <mergeCell ref="CI7:CI8"/>
    <mergeCell ref="BS23:BV23"/>
    <mergeCell ref="BP22:BP24"/>
    <mergeCell ref="BS25:BV25"/>
    <mergeCell ref="BR22:BR24"/>
    <mergeCell ref="BK22:BK24"/>
    <mergeCell ref="BQ22:BQ24"/>
    <mergeCell ref="BN22:BN24"/>
    <mergeCell ref="BO22:BO24"/>
    <mergeCell ref="BM6:BM7"/>
    <mergeCell ref="BN6:BN7"/>
    <mergeCell ref="BO6:BO7"/>
    <mergeCell ref="BP6:BP7"/>
    <mergeCell ref="BI29:BJ29"/>
    <mergeCell ref="BI28:BJ28"/>
    <mergeCell ref="BL22:BL24"/>
    <mergeCell ref="BM22:BM24"/>
    <mergeCell ref="BI22:BJ24"/>
    <mergeCell ref="BI6:BI7"/>
    <mergeCell ref="BJ6:BJ7"/>
    <mergeCell ref="BK6:BK7"/>
    <mergeCell ref="CF7:CF8"/>
    <mergeCell ref="CG7:CG8"/>
    <mergeCell ref="BT6:BT7"/>
    <mergeCell ref="BQ6:BQ7"/>
    <mergeCell ref="BR6:BR7"/>
    <mergeCell ref="BS6:BS7"/>
    <mergeCell ref="BL6:BL7"/>
    <mergeCell ref="CJ7:CJ8"/>
    <mergeCell ref="CT7:CT8"/>
    <mergeCell ref="CU7:CU8"/>
    <mergeCell ref="CM7:CM8"/>
    <mergeCell ref="CN7:CN8"/>
    <mergeCell ref="CO7:CO8"/>
    <mergeCell ref="CP7:CP8"/>
  </mergeCells>
  <phoneticPr fontId="2" type="noConversion"/>
  <conditionalFormatting sqref="BT11 BT13">
    <cfRule type="cellIs" dxfId="31" priority="6" stopIfTrue="1" operator="equal">
      <formula>iO</formula>
    </cfRule>
  </conditionalFormatting>
  <conditionalFormatting sqref="BT15">
    <cfRule type="cellIs" dxfId="30" priority="9" stopIfTrue="1" operator="greaterThan">
      <formula>$BK$15</formula>
    </cfRule>
  </conditionalFormatting>
  <conditionalFormatting sqref="CG9:CG14 CG7">
    <cfRule type="expression" dxfId="29" priority="30" stopIfTrue="1">
      <formula>$CG$7&lt;&gt;$BN$22</formula>
    </cfRule>
  </conditionalFormatting>
  <conditionalFormatting sqref="AF9:AF14 AQ9:AR14">
    <cfRule type="expression" dxfId="28" priority="34" stopIfTrue="1">
      <formula>$AF$8&lt;&gt;$BR$22</formula>
    </cfRule>
  </conditionalFormatting>
  <conditionalFormatting sqref="BA9:BA14">
    <cfRule type="expression" dxfId="27" priority="3" stopIfTrue="1">
      <formula>$AF$8&lt;&gt;$BR$22</formula>
    </cfRule>
  </conditionalFormatting>
  <conditionalFormatting sqref="CQ9:CQ14 CQ7">
    <cfRule type="expression" dxfId="26" priority="1" stopIfTrue="1">
      <formula>$CG$7&lt;&gt;$BN$22</formula>
    </cfRule>
  </conditionalFormatting>
  <pageMargins left="0.78740157499999996" right="0.78740157499999996" top="0.984251969" bottom="0.984251969" header="0.4921259845" footer="0.4921259845"/>
  <pageSetup paperSize="9" orientation="portrait"/>
  <ignoredErrors>
    <ignoredError sqref="BM13 CG7:CG14 DI8" formula="1"/>
    <ignoredError sqref="BN9:BN10 BK11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37"/>
  <sheetViews>
    <sheetView showGridLines="0" zoomScale="80" zoomScaleNormal="80" workbookViewId="0">
      <selection activeCell="A14" sqref="A14"/>
    </sheetView>
  </sheetViews>
  <sheetFormatPr baseColWidth="10" defaultColWidth="8.6640625" defaultRowHeight="15.75" customHeight="1" x14ac:dyDescent="0.15"/>
  <cols>
    <col min="1" max="1" width="8.6640625" style="95"/>
    <col min="2" max="2" width="3.6640625" style="131" customWidth="1"/>
    <col min="3" max="3" width="43.83203125" style="131" customWidth="1"/>
    <col min="4" max="4" width="1.1640625" style="95" customWidth="1"/>
    <col min="5" max="5" width="0.83203125" style="95" customWidth="1"/>
    <col min="6" max="10" width="6.83203125" style="95" customWidth="1"/>
    <col min="11" max="11" width="0.83203125" style="95" customWidth="1"/>
    <col min="12" max="16" width="6.83203125" style="95" customWidth="1"/>
    <col min="17" max="16384" width="8.6640625" style="95"/>
  </cols>
  <sheetData>
    <row r="2" spans="2:22" ht="15.75" customHeight="1" x14ac:dyDescent="0.15">
      <c r="B2" s="411"/>
      <c r="C2" s="412" t="s">
        <v>18</v>
      </c>
      <c r="D2" s="413"/>
      <c r="E2" s="413"/>
      <c r="F2" s="413">
        <v>1</v>
      </c>
      <c r="G2" s="413"/>
      <c r="H2" s="413"/>
      <c r="I2" s="413"/>
      <c r="J2" s="413"/>
      <c r="K2" s="413"/>
      <c r="L2" s="413">
        <f xml:space="preserve"> F2</f>
        <v>1</v>
      </c>
      <c r="M2" s="413"/>
      <c r="N2" s="413"/>
      <c r="O2" s="413"/>
      <c r="P2" s="414"/>
    </row>
    <row r="3" spans="2:22" ht="15.75" customHeight="1" x14ac:dyDescent="0.15">
      <c r="B3" s="979"/>
      <c r="C3" s="980"/>
      <c r="D3" s="980"/>
      <c r="E3" s="980"/>
      <c r="F3" s="980"/>
      <c r="G3" s="980"/>
      <c r="H3" s="980"/>
      <c r="I3" s="980"/>
      <c r="J3" s="980"/>
      <c r="K3" s="980"/>
      <c r="L3" s="980"/>
      <c r="M3" s="980"/>
      <c r="N3" s="980"/>
      <c r="O3" s="980"/>
      <c r="P3" s="981"/>
    </row>
    <row r="4" spans="2:22" ht="15.75" customHeight="1" x14ac:dyDescent="0.15">
      <c r="B4" s="416" t="s">
        <v>142</v>
      </c>
      <c r="C4" s="220"/>
      <c r="D4" s="218"/>
      <c r="E4" s="218"/>
      <c r="F4" s="417" t="s">
        <v>245</v>
      </c>
      <c r="G4" s="417"/>
      <c r="H4" s="417"/>
      <c r="I4" s="417"/>
      <c r="J4" s="417"/>
      <c r="K4" s="96"/>
      <c r="L4" s="418" t="s">
        <v>144</v>
      </c>
      <c r="M4" s="418"/>
      <c r="N4" s="418"/>
      <c r="O4" s="418"/>
      <c r="P4" s="419"/>
    </row>
    <row r="5" spans="2:22" ht="15.75" customHeight="1" x14ac:dyDescent="0.15">
      <c r="B5" s="415"/>
      <c r="C5" s="132"/>
      <c r="D5" s="96"/>
      <c r="E5" s="218"/>
      <c r="F5" s="96"/>
      <c r="G5" s="96"/>
      <c r="H5" s="96"/>
      <c r="I5" s="96"/>
      <c r="J5" s="96"/>
      <c r="K5" s="96"/>
      <c r="L5" s="96"/>
      <c r="M5" s="96"/>
      <c r="N5" s="96"/>
      <c r="O5" s="96"/>
      <c r="P5" s="99"/>
    </row>
    <row r="6" spans="2:22" ht="15.75" customHeight="1" x14ac:dyDescent="0.15">
      <c r="B6" s="420"/>
      <c r="C6" s="421"/>
      <c r="D6" s="421" t="s">
        <v>93</v>
      </c>
      <c r="E6" s="90"/>
      <c r="F6" s="422">
        <v>0</v>
      </c>
      <c r="G6" s="422">
        <v>1</v>
      </c>
      <c r="H6" s="422">
        <v>2</v>
      </c>
      <c r="I6" s="422">
        <v>3</v>
      </c>
      <c r="J6" s="422">
        <v>4</v>
      </c>
      <c r="K6" s="75"/>
      <c r="L6" s="423">
        <f t="shared" ref="L6:P8" si="0" xml:space="preserve"> F6</f>
        <v>0</v>
      </c>
      <c r="M6" s="423">
        <f t="shared" si="0"/>
        <v>1</v>
      </c>
      <c r="N6" s="423">
        <f t="shared" si="0"/>
        <v>2</v>
      </c>
      <c r="O6" s="423">
        <f t="shared" si="0"/>
        <v>3</v>
      </c>
      <c r="P6" s="424">
        <f t="shared" si="0"/>
        <v>4</v>
      </c>
    </row>
    <row r="7" spans="2:22" ht="15.75" customHeight="1" x14ac:dyDescent="0.15">
      <c r="B7" s="420"/>
      <c r="C7" s="421"/>
      <c r="D7" s="421" t="s">
        <v>19</v>
      </c>
      <c r="E7" s="90"/>
      <c r="F7" s="422">
        <f xml:space="preserve"> $F$2 + F6</f>
        <v>1</v>
      </c>
      <c r="G7" s="422">
        <f xml:space="preserve"> $F$2 + G6</f>
        <v>2</v>
      </c>
      <c r="H7" s="422">
        <f xml:space="preserve"> $F$2 + H6</f>
        <v>3</v>
      </c>
      <c r="I7" s="422">
        <f xml:space="preserve"> $F$2 + I6</f>
        <v>4</v>
      </c>
      <c r="J7" s="422">
        <f xml:space="preserve"> $F$2 + J6</f>
        <v>5</v>
      </c>
      <c r="K7" s="75"/>
      <c r="L7" s="423">
        <f t="shared" si="0"/>
        <v>1</v>
      </c>
      <c r="M7" s="423">
        <f t="shared" si="0"/>
        <v>2</v>
      </c>
      <c r="N7" s="423">
        <f t="shared" si="0"/>
        <v>3</v>
      </c>
      <c r="O7" s="423">
        <f t="shared" si="0"/>
        <v>4</v>
      </c>
      <c r="P7" s="424">
        <f t="shared" si="0"/>
        <v>5</v>
      </c>
    </row>
    <row r="8" spans="2:22" ht="15.75" customHeight="1" x14ac:dyDescent="0.15">
      <c r="B8" s="420"/>
      <c r="C8" s="421"/>
      <c r="D8" s="421" t="s">
        <v>24</v>
      </c>
      <c r="E8" s="90"/>
      <c r="F8" s="373" t="str">
        <f t="array" ref="F8:J8" xml:space="preserve"> TRANSPOSE( B_js )</f>
        <v>j</v>
      </c>
      <c r="G8" s="373" t="str">
        <v>j</v>
      </c>
      <c r="H8" s="373" t="str">
        <v>j</v>
      </c>
      <c r="I8" s="425" t="str">
        <v>s</v>
      </c>
      <c r="J8" s="425" t="str">
        <v>s</v>
      </c>
      <c r="K8" s="75"/>
      <c r="L8" s="426" t="str">
        <f t="shared" si="0"/>
        <v>j</v>
      </c>
      <c r="M8" s="426" t="str">
        <f t="shared" si="0"/>
        <v>j</v>
      </c>
      <c r="N8" s="426" t="str">
        <f t="shared" si="0"/>
        <v>j</v>
      </c>
      <c r="O8" s="427" t="str">
        <f t="shared" si="0"/>
        <v>s</v>
      </c>
      <c r="P8" s="428" t="str">
        <f t="shared" si="0"/>
        <v>s</v>
      </c>
      <c r="U8" s="429" t="s">
        <v>16</v>
      </c>
      <c r="V8" s="429" t="s">
        <v>17</v>
      </c>
    </row>
    <row r="9" spans="2:22" ht="15.75" customHeight="1" x14ac:dyDescent="0.15">
      <c r="B9" s="415"/>
      <c r="C9" s="132"/>
      <c r="D9" s="96"/>
      <c r="E9" s="90"/>
      <c r="F9" s="75"/>
      <c r="G9" s="75"/>
      <c r="H9" s="75"/>
      <c r="I9" s="75"/>
      <c r="J9" s="75"/>
      <c r="K9" s="75"/>
      <c r="L9" s="75"/>
      <c r="M9" s="75"/>
      <c r="N9" s="75"/>
      <c r="O9" s="75"/>
      <c r="P9" s="86"/>
    </row>
    <row r="10" spans="2:22" ht="15.75" customHeight="1" x14ac:dyDescent="0.15">
      <c r="B10" s="415" t="s">
        <v>246</v>
      </c>
      <c r="C10" s="430"/>
      <c r="D10" s="208" t="str">
        <f xml:space="preserve"> Kx!$BC$8</f>
        <v>K_x</v>
      </c>
      <c r="E10" s="331"/>
      <c r="F10" s="431">
        <f t="array" ref="F10:J10" xml:space="preserve"> TRANSPOSE( B_Kopfschaeden )</f>
        <v>10</v>
      </c>
      <c r="G10" s="431">
        <v>10</v>
      </c>
      <c r="H10" s="431">
        <v>15</v>
      </c>
      <c r="I10" s="431">
        <v>25</v>
      </c>
      <c r="J10" s="431">
        <v>50</v>
      </c>
      <c r="K10" s="316"/>
      <c r="L10" s="432">
        <f xml:space="preserve"> F10 - SUM( L11 )</f>
        <v>5.31</v>
      </c>
      <c r="M10" s="432">
        <f xml:space="preserve"> G10 - SUM( M11 )</f>
        <v>7.65</v>
      </c>
      <c r="N10" s="431">
        <f xml:space="preserve"> H10 - SUM( N11 )</f>
        <v>15</v>
      </c>
      <c r="O10" s="431">
        <f xml:space="preserve"> I10 - SUM( O11 )</f>
        <v>25</v>
      </c>
      <c r="P10" s="433">
        <f xml:space="preserve"> J10 - SUM( P11 )</f>
        <v>50</v>
      </c>
    </row>
    <row r="11" spans="2:22" ht="15.75" customHeight="1" x14ac:dyDescent="0.15">
      <c r="B11" s="415" t="s">
        <v>141</v>
      </c>
      <c r="C11" s="434"/>
      <c r="D11" s="208" t="s">
        <v>247</v>
      </c>
      <c r="E11" s="331"/>
      <c r="F11" s="435" t="str">
        <f xml:space="preserve"> IF(    L11=LEER, LEER,    "(" &amp; TEXT( L11, "0,00"  )&amp; ")"    )</f>
        <v>(4,69)</v>
      </c>
      <c r="G11" s="435" t="str">
        <f xml:space="preserve"> IF(    M11=LEER, LEER,    "(" &amp; TEXT( M11, "0,00"  )&amp; ")"    )</f>
        <v>(2,35)</v>
      </c>
      <c r="H11" s="435" t="str">
        <f xml:space="preserve"> IF(    N11=LEER, LEER,    "(" &amp; TEXT( N11, "0,00"  )&amp; ")"    )</f>
        <v>.</v>
      </c>
      <c r="I11" s="435" t="str">
        <f xml:space="preserve"> IF(    O11=LEER, LEER,    "(" &amp; TEXT( O11, "0,00"  )&amp; ")"    )</f>
        <v>.</v>
      </c>
      <c r="J11" s="435" t="str">
        <f xml:space="preserve"> IF(    P11=LEER, LEER,    "(" &amp; TEXT( P11, "0,00"  )&amp; ")"    )</f>
        <v>.</v>
      </c>
      <c r="K11" s="316"/>
      <c r="L11" s="432">
        <f xml:space="preserve"> IF(    F7&gt;2, LEER,     ROUND( IF(F7=1,2,1) * F24 / 12, 2 )     )</f>
        <v>4.6900000000000004</v>
      </c>
      <c r="M11" s="432">
        <f xml:space="preserve"> IF(    G7&gt;2, LEER,     ROUND( IF(G7=1,2,1) * G24 / 12, 2 )     )</f>
        <v>2.35</v>
      </c>
      <c r="N11" s="431" t="str">
        <f xml:space="preserve"> IF(    H7&gt;2, LEER,     ROUND( IF(H7=1,2,1) * H24 / 12, 2 )     )</f>
        <v>.</v>
      </c>
      <c r="O11" s="431" t="str">
        <f xml:space="preserve"> IF(    I7&gt;2, LEER,     ROUND( IF(I7=1,2,1) * I24 / 12, 2 )     )</f>
        <v>.</v>
      </c>
      <c r="P11" s="433" t="str">
        <f xml:space="preserve"> IF(    J7&gt;2, LEER,     ROUND( IF(J7=1,2,1) * J24 / 12, 2 )     )</f>
        <v>.</v>
      </c>
    </row>
    <row r="12" spans="2:22" ht="15.75" customHeight="1" x14ac:dyDescent="0.15">
      <c r="B12" s="416" t="s">
        <v>100</v>
      </c>
      <c r="C12" s="436"/>
      <c r="D12" s="437" t="str">
        <f xml:space="preserve"> D13 &amp; " - " &amp; D10</f>
        <v>P_x - K_x</v>
      </c>
      <c r="E12" s="331"/>
      <c r="F12" s="438">
        <f xml:space="preserve"> ROUND( F13 - F10, 2 )</f>
        <v>8.48</v>
      </c>
      <c r="G12" s="438">
        <f xml:space="preserve"> ROUND( G13 - G10, 2 )</f>
        <v>8.48</v>
      </c>
      <c r="H12" s="438">
        <f xml:space="preserve"> ROUND( H13 - H10, 2 )</f>
        <v>3.48</v>
      </c>
      <c r="I12" s="438">
        <f xml:space="preserve"> ROUND( I13 - I10, 2 )</f>
        <v>-6.52</v>
      </c>
      <c r="J12" s="438">
        <f xml:space="preserve"> ROUND( J13 - J10, 2 )</f>
        <v>-31.52</v>
      </c>
      <c r="K12" s="331"/>
      <c r="L12" s="432">
        <f xml:space="preserve"> F12 - SUM( L$14 ) + SUM( F$14 )</f>
        <v>5.03</v>
      </c>
      <c r="M12" s="432">
        <f xml:space="preserve"> G12 - SUM( M$14 ) + SUM( G$14 )</f>
        <v>9.7200000000000006</v>
      </c>
      <c r="N12" s="431">
        <f xml:space="preserve"> H12 - SUM( N$14 ) + SUM( H$14 )</f>
        <v>4.72</v>
      </c>
      <c r="O12" s="431">
        <f xml:space="preserve"> I12 - SUM( O$14 ) + SUM( I$14 )</f>
        <v>-5.2799999999999994</v>
      </c>
      <c r="P12" s="433">
        <f xml:space="preserve"> J12 - SUM( P$14 ) + SUM( J$14 )</f>
        <v>-30.28</v>
      </c>
    </row>
    <row r="13" spans="2:22" ht="15.75" customHeight="1" x14ac:dyDescent="0.15">
      <c r="B13" s="439" t="s">
        <v>143</v>
      </c>
      <c r="C13" s="440"/>
      <c r="D13" s="441" t="str">
        <f xml:space="preserve"> Bx!$S$8</f>
        <v>P_x</v>
      </c>
      <c r="E13" s="331"/>
      <c r="F13" s="442">
        <f xml:space="preserve"> ROUND( Bx!$S$10, 2 )</f>
        <v>18.48</v>
      </c>
      <c r="G13" s="442">
        <f xml:space="preserve"> ROUND( Bx!$S$10, 2 )</f>
        <v>18.48</v>
      </c>
      <c r="H13" s="442">
        <f xml:space="preserve"> ROUND( Bx!$S$10, 2 )</f>
        <v>18.48</v>
      </c>
      <c r="I13" s="442">
        <f xml:space="preserve"> ROUND( Bx!$S$10, 2 )</f>
        <v>18.48</v>
      </c>
      <c r="J13" s="442">
        <f xml:space="preserve"> ROUND( Bx!$S$10, 2 )</f>
        <v>18.48</v>
      </c>
      <c r="K13" s="316"/>
      <c r="L13" s="316"/>
      <c r="M13" s="316"/>
      <c r="N13" s="316"/>
      <c r="O13" s="316"/>
      <c r="P13" s="317"/>
    </row>
    <row r="14" spans="2:22" ht="15.75" customHeight="1" x14ac:dyDescent="0.15">
      <c r="B14" s="416" t="str">
        <f xml:space="preserve"> "Zillmerung, " &amp; Bx!$AG$10 &amp; " MB: " &amp; Bx!$AG$10 &amp; " * " &amp; TEXT( F24, "0,00" ) &amp; " / 12 = " &amp; TEXT( L14, "0,00" )</f>
        <v>Zillmerung, 2 MB: 2 * 28,16 / 12 = 4,69</v>
      </c>
      <c r="C14" s="436"/>
      <c r="D14" s="437" t="str">
        <f xml:space="preserve"> Bx!$AG$8</f>
        <v>α^Z_x</v>
      </c>
      <c r="E14" s="331"/>
      <c r="F14" s="438">
        <f xml:space="preserve"> ROUND( Bx!$X$10, 2 )</f>
        <v>1.24</v>
      </c>
      <c r="G14" s="438">
        <f xml:space="preserve"> ROUND( Bx!$X$10, 2 )</f>
        <v>1.24</v>
      </c>
      <c r="H14" s="438">
        <f xml:space="preserve"> ROUND( Bx!$X$10, 2 )</f>
        <v>1.24</v>
      </c>
      <c r="I14" s="438">
        <f xml:space="preserve"> ROUND( Bx!$X$10, 2 )</f>
        <v>1.24</v>
      </c>
      <c r="J14" s="438">
        <f xml:space="preserve"> ROUND( Bx!$X$10, 2 )</f>
        <v>1.24</v>
      </c>
      <c r="K14" s="331"/>
      <c r="L14" s="431">
        <f xml:space="preserve"> ROUND( Bx!CH10 * F24 / 12, 2 )</f>
        <v>4.6900000000000004</v>
      </c>
      <c r="M14" s="431" t="str">
        <f xml:space="preserve"> LEER</f>
        <v>.</v>
      </c>
      <c r="N14" s="431" t="str">
        <f xml:space="preserve"> LEER</f>
        <v>.</v>
      </c>
      <c r="O14" s="431" t="str">
        <f xml:space="preserve"> LEER</f>
        <v>.</v>
      </c>
      <c r="P14" s="433" t="str">
        <f xml:space="preserve"> LEER</f>
        <v>.</v>
      </c>
    </row>
    <row r="15" spans="2:22" ht="15.75" customHeight="1" x14ac:dyDescent="0.15">
      <c r="B15" s="978" t="s">
        <v>87</v>
      </c>
      <c r="C15" s="430" t="s">
        <v>94</v>
      </c>
      <c r="D15" s="208" t="str">
        <f xml:space="preserve"> Bx!$BS$22</f>
        <v>α^u</v>
      </c>
      <c r="E15" s="331"/>
      <c r="F15" s="431">
        <f t="shared" ref="F15:J18" si="1" xml:space="preserve"> IF(   INDEX( $U15:$V15, MATCH( F$8, $U$8:$V$8, 0 ) ) =  LEER,    LEER,    INDEX( $U15:$V15, MATCH( F$8, $U$8:$V$8, 0 ) )      )</f>
        <v>0.96</v>
      </c>
      <c r="G15" s="431">
        <f t="shared" si="1"/>
        <v>0.96</v>
      </c>
      <c r="H15" s="431">
        <f t="shared" si="1"/>
        <v>0.96</v>
      </c>
      <c r="I15" s="431" t="str">
        <f t="shared" si="1"/>
        <v>.</v>
      </c>
      <c r="J15" s="431" t="str">
        <f t="shared" si="1"/>
        <v>.</v>
      </c>
      <c r="K15" s="316"/>
      <c r="L15" s="431">
        <f t="shared" ref="L15:P21" si="2" xml:space="preserve"> F15</f>
        <v>0.96</v>
      </c>
      <c r="M15" s="431">
        <f t="shared" si="2"/>
        <v>0.96</v>
      </c>
      <c r="N15" s="431">
        <f t="shared" si="2"/>
        <v>0.96</v>
      </c>
      <c r="O15" s="431" t="str">
        <f t="shared" si="2"/>
        <v>.</v>
      </c>
      <c r="P15" s="433" t="str">
        <f t="shared" si="2"/>
        <v>.</v>
      </c>
      <c r="U15" s="443">
        <f xml:space="preserve"> ROUND(Bx!$BS$28, 2 )</f>
        <v>0.96</v>
      </c>
      <c r="V15" s="443" t="str">
        <f xml:space="preserve"> Bx!$BS$29</f>
        <v>.</v>
      </c>
    </row>
    <row r="16" spans="2:22" ht="15.75" customHeight="1" x14ac:dyDescent="0.15">
      <c r="B16" s="978"/>
      <c r="C16" s="430" t="s">
        <v>95</v>
      </c>
      <c r="D16" s="208" t="str">
        <f xml:space="preserve"> Bx!$BT$22</f>
        <v>α^m</v>
      </c>
      <c r="E16" s="331"/>
      <c r="F16" s="431">
        <f t="shared" si="1"/>
        <v>1.89</v>
      </c>
      <c r="G16" s="431">
        <f t="shared" si="1"/>
        <v>1.89</v>
      </c>
      <c r="H16" s="431">
        <f t="shared" si="1"/>
        <v>1.89</v>
      </c>
      <c r="I16" s="431">
        <f t="shared" si="1"/>
        <v>1.81</v>
      </c>
      <c r="J16" s="431">
        <f t="shared" si="1"/>
        <v>1.81</v>
      </c>
      <c r="K16" s="316"/>
      <c r="L16" s="431">
        <f t="shared" si="2"/>
        <v>1.89</v>
      </c>
      <c r="M16" s="431">
        <f t="shared" si="2"/>
        <v>1.89</v>
      </c>
      <c r="N16" s="431">
        <f t="shared" si="2"/>
        <v>1.89</v>
      </c>
      <c r="O16" s="431">
        <f t="shared" si="2"/>
        <v>1.81</v>
      </c>
      <c r="P16" s="433">
        <f t="shared" si="2"/>
        <v>1.81</v>
      </c>
      <c r="U16" s="443">
        <f xml:space="preserve"> ROUND(Bx!$BT$28, 2 )</f>
        <v>1.89</v>
      </c>
      <c r="V16" s="443">
        <f xml:space="preserve"> ROUND(Bx!$BT$29, 2 )</f>
        <v>1.81</v>
      </c>
    </row>
    <row r="17" spans="2:23" ht="15.75" customHeight="1" x14ac:dyDescent="0.15">
      <c r="B17" s="978"/>
      <c r="C17" s="430" t="s">
        <v>96</v>
      </c>
      <c r="D17" s="208" t="str">
        <f xml:space="preserve"> Bx!$BU$22</f>
        <v>ρ</v>
      </c>
      <c r="E17" s="331"/>
      <c r="F17" s="431">
        <f t="shared" si="1"/>
        <v>1.64</v>
      </c>
      <c r="G17" s="431">
        <f t="shared" si="1"/>
        <v>1.64</v>
      </c>
      <c r="H17" s="431">
        <f t="shared" si="1"/>
        <v>1.64</v>
      </c>
      <c r="I17" s="431">
        <f t="shared" si="1"/>
        <v>1.57</v>
      </c>
      <c r="J17" s="431">
        <f t="shared" si="1"/>
        <v>1.57</v>
      </c>
      <c r="K17" s="316"/>
      <c r="L17" s="431">
        <f t="shared" si="2"/>
        <v>1.64</v>
      </c>
      <c r="M17" s="431">
        <f t="shared" si="2"/>
        <v>1.64</v>
      </c>
      <c r="N17" s="431">
        <f t="shared" si="2"/>
        <v>1.64</v>
      </c>
      <c r="O17" s="431">
        <f t="shared" si="2"/>
        <v>1.57</v>
      </c>
      <c r="P17" s="433">
        <f t="shared" si="2"/>
        <v>1.57</v>
      </c>
      <c r="U17" s="443">
        <f xml:space="preserve"> ROUND(Bx!$BU$28, 2 )</f>
        <v>1.64</v>
      </c>
      <c r="V17" s="443">
        <f xml:space="preserve"> ROUND(Bx!$BU$29, 2 )</f>
        <v>1.57</v>
      </c>
    </row>
    <row r="18" spans="2:23" ht="15.75" customHeight="1" x14ac:dyDescent="0.15">
      <c r="B18" s="978"/>
      <c r="C18" s="430" t="s">
        <v>97</v>
      </c>
      <c r="D18" s="208" t="str">
        <f xml:space="preserve"> Bx!$BV22</f>
        <v>β</v>
      </c>
      <c r="E18" s="331"/>
      <c r="F18" s="431">
        <f t="shared" si="1"/>
        <v>0.96</v>
      </c>
      <c r="G18" s="431">
        <f t="shared" si="1"/>
        <v>0.96</v>
      </c>
      <c r="H18" s="431">
        <f t="shared" si="1"/>
        <v>0.96</v>
      </c>
      <c r="I18" s="431">
        <f t="shared" si="1"/>
        <v>0.92</v>
      </c>
      <c r="J18" s="431">
        <f t="shared" si="1"/>
        <v>0.92</v>
      </c>
      <c r="K18" s="316"/>
      <c r="L18" s="431">
        <f t="shared" si="2"/>
        <v>0.96</v>
      </c>
      <c r="M18" s="431">
        <f t="shared" si="2"/>
        <v>0.96</v>
      </c>
      <c r="N18" s="431">
        <f t="shared" si="2"/>
        <v>0.96</v>
      </c>
      <c r="O18" s="431">
        <f t="shared" si="2"/>
        <v>0.92</v>
      </c>
      <c r="P18" s="433">
        <f t="shared" si="2"/>
        <v>0.92</v>
      </c>
      <c r="U18" s="443">
        <f xml:space="preserve"> ROUND(Bx!$BV$28, 2 )</f>
        <v>0.96</v>
      </c>
      <c r="V18" s="443">
        <f xml:space="preserve"> ROUND(Bx!$BV$29, 2 )</f>
        <v>0.92</v>
      </c>
    </row>
    <row r="19" spans="2:23" ht="15.75" customHeight="1" x14ac:dyDescent="0.15">
      <c r="B19" s="415" t="str">
        <f xml:space="preserve"> "Zuschlag für den Basistarif: " &amp; W19</f>
        <v>Zuschlag für den Basistarif: 0,6 % / 0,6 %</v>
      </c>
      <c r="C19" s="430"/>
      <c r="D19" s="208" t="s">
        <v>250</v>
      </c>
      <c r="E19" s="331"/>
      <c r="F19" s="431">
        <f t="shared" ref="F19:J20" si="3" xml:space="preserve"> IF(   INDEX( $U19:$V19, MATCH( F$8, $U$8:$V$8, 0 ) ) =  LEER,    LEER,  ROUND(     INDEX( $U$24:$V$24, MATCH( F$8, $U$8:$V$8, 0 ) ) * INDEX( $U19:$V19, MATCH( F$8, $U$8:$V$8, 0 ) ),  2   )        )</f>
        <v>0.17</v>
      </c>
      <c r="G19" s="431">
        <f t="shared" si="3"/>
        <v>0.17</v>
      </c>
      <c r="H19" s="431">
        <f t="shared" si="3"/>
        <v>0.17</v>
      </c>
      <c r="I19" s="431">
        <f t="shared" si="3"/>
        <v>0.16</v>
      </c>
      <c r="J19" s="431">
        <f t="shared" si="3"/>
        <v>0.16</v>
      </c>
      <c r="K19" s="316"/>
      <c r="L19" s="431">
        <f t="shared" si="2"/>
        <v>0.17</v>
      </c>
      <c r="M19" s="431">
        <f t="shared" si="2"/>
        <v>0.17</v>
      </c>
      <c r="N19" s="431">
        <f t="shared" si="2"/>
        <v>0.17</v>
      </c>
      <c r="O19" s="431">
        <f t="shared" si="2"/>
        <v>0.16</v>
      </c>
      <c r="P19" s="433">
        <f t="shared" si="2"/>
        <v>0.16</v>
      </c>
      <c r="U19" s="444">
        <v>6.0000000000000001E-3</v>
      </c>
      <c r="V19" s="445">
        <f xml:space="preserve"> U19</f>
        <v>6.0000000000000001E-3</v>
      </c>
      <c r="W19" s="446" t="str">
        <f xml:space="preserve"> TEXT( U19, "0,0 %") &amp; " / " &amp; TEXT( V19, "0,0 %")</f>
        <v>0,6 % / 0,6 %</v>
      </c>
    </row>
    <row r="20" spans="2:23" ht="15.75" customHeight="1" x14ac:dyDescent="0.15">
      <c r="B20" s="415" t="str">
        <f xml:space="preserve"> "Zuschlag für den Standardtarif: " &amp; W20</f>
        <v>Zuschlag für den Standardtarif: 0,1 % / .</v>
      </c>
      <c r="C20" s="430"/>
      <c r="D20" s="208" t="s">
        <v>249</v>
      </c>
      <c r="E20" s="331"/>
      <c r="F20" s="431">
        <f t="shared" si="3"/>
        <v>0.03</v>
      </c>
      <c r="G20" s="431">
        <f t="shared" si="3"/>
        <v>0.03</v>
      </c>
      <c r="H20" s="431">
        <f t="shared" si="3"/>
        <v>0.03</v>
      </c>
      <c r="I20" s="431" t="str">
        <f t="shared" si="3"/>
        <v>.</v>
      </c>
      <c r="J20" s="431" t="str">
        <f t="shared" si="3"/>
        <v>.</v>
      </c>
      <c r="K20" s="316"/>
      <c r="L20" s="431">
        <f t="shared" si="2"/>
        <v>0.03</v>
      </c>
      <c r="M20" s="431">
        <f t="shared" si="2"/>
        <v>0.03</v>
      </c>
      <c r="N20" s="431">
        <f t="shared" si="2"/>
        <v>0.03</v>
      </c>
      <c r="O20" s="431" t="str">
        <f t="shared" si="2"/>
        <v>.</v>
      </c>
      <c r="P20" s="433" t="str">
        <f t="shared" si="2"/>
        <v>.</v>
      </c>
      <c r="U20" s="444">
        <v>1E-3</v>
      </c>
      <c r="V20" s="447" t="s">
        <v>33</v>
      </c>
      <c r="W20" s="446" t="str">
        <f xml:space="preserve"> TEXT( U20, "0,0 %") &amp; " / " &amp; TEXT( V20, "0,0 %")</f>
        <v>0,1 % / .</v>
      </c>
    </row>
    <row r="21" spans="2:23" ht="15.75" customHeight="1" x14ac:dyDescent="0.15">
      <c r="B21" s="415" t="str">
        <f xml:space="preserve"> "Sicherheitszuschlag: " &amp; W21</f>
        <v>Sicherheitszuschlag: 9,9 % / 10,0 %</v>
      </c>
      <c r="C21" s="430"/>
      <c r="D21" s="208" t="s">
        <v>252</v>
      </c>
      <c r="E21" s="331"/>
      <c r="F21" s="431">
        <f xml:space="preserve"> IF(   INDEX( $U21:$V21, MATCH( F$8, $U$8:$V$8, 0 ) ) =  LEER,    LEER,  ROUND(     INDEX( $U$24:$V$24, MATCH( F$8, $U$8:$V$8, 0 ) ) * INDEX( $U21:$V21, MATCH( F$8, $U$8:$V$8, 0 ) ),  2   )        ) - SUM( F22 )</f>
        <v>1.4100000000000001</v>
      </c>
      <c r="G21" s="431">
        <f xml:space="preserve"> IF(   INDEX( $U21:$V21, MATCH( G$8, $U$8:$V$8, 0 ) ) =  LEER,    LEER,  ROUND(     INDEX( $U$24:$V$24, MATCH( G$8, $U$8:$V$8, 0 ) ) * INDEX( $U21:$V21, MATCH( G$8, $U$8:$V$8, 0 ) ),  2   )        ) - SUM( G22 )</f>
        <v>2.79</v>
      </c>
      <c r="H21" s="431">
        <f xml:space="preserve"> IF(   INDEX( $U21:$V21, MATCH( H$8, $U$8:$V$8, 0 ) ) =  LEER,    LEER,  ROUND(     INDEX( $U$24:$V$24, MATCH( H$8, $U$8:$V$8, 0 ) ) * INDEX( $U21:$V21, MATCH( H$8, $U$8:$V$8, 0 ) ),  2   )        ) - SUM( H22 )</f>
        <v>2.79</v>
      </c>
      <c r="I21" s="431">
        <f xml:space="preserve"> IF(   INDEX( $U21:$V21, MATCH( I$8, $U$8:$V$8, 0 ) ) =  LEER,    LEER,  ROUND(     INDEX( $U$24:$V$24, MATCH( I$8, $U$8:$V$8, 0 ) ) * INDEX( $U21:$V21, MATCH( I$8, $U$8:$V$8, 0 ) ),  2   )        ) - SUM( I22 )</f>
        <v>2.69</v>
      </c>
      <c r="J21" s="431">
        <f xml:space="preserve"> IF(   INDEX( $U21:$V21, MATCH( J$8, $U$8:$V$8, 0 ) ) =  LEER,    LEER,  ROUND(     INDEX( $U$24:$V$24, MATCH( J$8, $U$8:$V$8, 0 ) ) * INDEX( $U21:$V21, MATCH( J$8, $U$8:$V$8, 0 ) ),  2   )        ) - SUM( J22 )</f>
        <v>2.69</v>
      </c>
      <c r="K21" s="316"/>
      <c r="L21" s="431">
        <f t="shared" si="2"/>
        <v>1.4100000000000001</v>
      </c>
      <c r="M21" s="431">
        <f t="shared" si="2"/>
        <v>2.79</v>
      </c>
      <c r="N21" s="431">
        <f t="shared" si="2"/>
        <v>2.79</v>
      </c>
      <c r="O21" s="431">
        <f t="shared" si="2"/>
        <v>2.69</v>
      </c>
      <c r="P21" s="433">
        <f t="shared" si="2"/>
        <v>2.69</v>
      </c>
      <c r="U21" s="448">
        <f xml:space="preserve"> Bx!$AE$10 - SUM( U19:U20 )</f>
        <v>9.8999999999999991E-2</v>
      </c>
      <c r="V21" s="448">
        <f xml:space="preserve"> Bx!$AE$13 - SUM( V19:V20 )</f>
        <v>9.9999999999999992E-2</v>
      </c>
      <c r="W21" s="446" t="str">
        <f xml:space="preserve"> TEXT( U21, "0,0 %") &amp; " / " &amp; TEXT( V21, "0,0 %")</f>
        <v>9,9 % / 10,0 %</v>
      </c>
    </row>
    <row r="22" spans="2:23" ht="15.75" customHeight="1" x14ac:dyDescent="0.15">
      <c r="B22" s="415" t="str">
        <f xml:space="preserve"> "Zuschlag α^σ, 1. VJ: " &amp; W22</f>
        <v>Zuschlag α^σ, 1. VJ: 4,9 % / 5,0 %</v>
      </c>
      <c r="C22" s="434"/>
      <c r="D22" s="208" t="s">
        <v>251</v>
      </c>
      <c r="E22" s="331"/>
      <c r="F22" s="431">
        <f xml:space="preserve"> IF(    F7&gt;1, LEER,       IF(   INDEX( $U22:$V22, MATCH( F$8, $U$8:$V$8, 0 ) ) =  LEER,    LEER,       ROUND(     INDEX( $U$24:$V$24, MATCH( F$8, $U$8:$V$8, 0 ) ) * INDEX( $U22:$V22, MATCH( F$8, $U$8:$V$8, 0 ) ),  2   )       )                       )</f>
        <v>1.38</v>
      </c>
      <c r="G22" s="435" t="str">
        <f xml:space="preserve"> IF(    G7&gt;1, LEER,       IF(   INDEX( $U22:$V22, MATCH( G$8, $U$8:$V$8, 0 ) ) =  LEER,    LEER,     "(" &amp;  TEXT(  ROUND(     INDEX( $U$24:$V$24, MATCH( G$8, $U$8:$V$8, 0 ) ) * INDEX( $U22:$V22, MATCH( G$8, $U$8:$V$8, 0 ) ),  2   ), "0,00"  )    &amp;  ")"      )                       )</f>
        <v>.</v>
      </c>
      <c r="H22" s="435" t="str">
        <f xml:space="preserve"> IF(    H7&gt;1, LEER,       IF(   INDEX( $U22:$V22, MATCH( H$8, $U$8:$V$8, 0 ) ) =  LEER,    LEER,     "(" &amp;  TEXT(  ROUND(     INDEX( $U$24:$V$24, MATCH( H$8, $U$8:$V$8, 0 ) ) * INDEX( $U22:$V22, MATCH( H$8, $U$8:$V$8, 0 ) ),  2   ), "0,00"  )    &amp;  ")"      )                       )</f>
        <v>.</v>
      </c>
      <c r="I22" s="435" t="str">
        <f xml:space="preserve"> IF(    I7&gt;1, LEER,       IF(   INDEX( $U22:$V22, MATCH( I$8, $U$8:$V$8, 0 ) ) =  LEER,    LEER,     "(" &amp;  TEXT(  ROUND(     INDEX( $U$24:$V$24, MATCH( I$8, $U$8:$V$8, 0 ) ) * INDEX( $U22:$V22, MATCH( I$8, $U$8:$V$8, 0 ) ),  2   ), "0,00"  )    &amp;  ")"      )                       )</f>
        <v>.</v>
      </c>
      <c r="J22" s="435" t="str">
        <f xml:space="preserve"> IF(    J7&gt;1, LEER,       IF(   INDEX( $U22:$V22, MATCH( J$8, $U$8:$V$8, 0 ) ) =  LEER,    LEER,     "(" &amp;  TEXT(  ROUND(     INDEX( $U$24:$V$24, MATCH( J$8, $U$8:$V$8, 0 ) ) * INDEX( $U22:$V22, MATCH( J$8, $U$8:$V$8, 0 ) ),  2   ), "0,00"  )    &amp;  ")"      )                       )</f>
        <v>.</v>
      </c>
      <c r="K22" s="316"/>
      <c r="L22" s="431">
        <f xml:space="preserve"> F22</f>
        <v>1.38</v>
      </c>
      <c r="M22" s="431" t="str">
        <f xml:space="preserve"> G22</f>
        <v>.</v>
      </c>
      <c r="N22" s="431" t="str">
        <f xml:space="preserve"> H22</f>
        <v>.</v>
      </c>
      <c r="O22" s="431" t="str">
        <f xml:space="preserve"> I22</f>
        <v>.</v>
      </c>
      <c r="P22" s="433" t="str">
        <f xml:space="preserve"> J22</f>
        <v>.</v>
      </c>
      <c r="U22" s="449">
        <f xml:space="preserve"> MAX( 0, U21 - 5 % )</f>
        <v>4.8999999999999988E-2</v>
      </c>
      <c r="V22" s="449">
        <f xml:space="preserve"> MAX( 0, V21 - 5 % )</f>
        <v>4.9999999999999989E-2</v>
      </c>
      <c r="W22" s="446" t="str">
        <f xml:space="preserve"> TEXT( U22, "0,0 %") &amp; " / " &amp; TEXT( V22, "0,0 %")</f>
        <v>4,9 % / 5,0 %</v>
      </c>
    </row>
    <row r="23" spans="2:23" ht="15.75" customHeight="1" x14ac:dyDescent="0.15">
      <c r="B23" s="450" t="s">
        <v>101</v>
      </c>
      <c r="C23" s="434"/>
      <c r="D23" s="208" t="s">
        <v>259</v>
      </c>
      <c r="E23" s="331"/>
      <c r="F23" s="435" t="str">
        <f xml:space="preserve"> "("  &amp;   TEXT(   VALUE( SUBSTITUTE(SUBSTITUTE( IF( F11=LEER,0,F11), ")", "" ), "(", "" ) ) + SUM(F14) + SUM(F15) + SUM(F22),  "0,00"   )   &amp;  ")"</f>
        <v>(8,27)</v>
      </c>
      <c r="G23" s="435" t="str">
        <f xml:space="preserve"> "("  &amp;   TEXT(   VALUE( SUBSTITUTE(SUBSTITUTE( IF( G11=LEER,0,G11), ")", "" ), "(", "" ) ) + SUM(G14) + SUM(G15) + SUM(G22),  "0,00"   )   &amp;  ")"</f>
        <v>(4,55)</v>
      </c>
      <c r="H23" s="435" t="str">
        <f xml:space="preserve"> "("  &amp;   TEXT(   VALUE( SUBSTITUTE(SUBSTITUTE( IF( H11=LEER,0,H11), ")", "" ), "(", "" ) ) + SUM(H14) + SUM(H15) + SUM(H22),  "0,00"   )   &amp;  ")"</f>
        <v>(2,20)</v>
      </c>
      <c r="I23" s="435" t="str">
        <f xml:space="preserve"> "("  &amp;   TEXT(   VALUE( SUBSTITUTE(SUBSTITUTE( IF( I11=LEER,0,I11), ")", "" ), "(", "" ) ) + SUM(I14) + SUM(I15) + SUM(I22),  "0,00"   )   &amp;  ")"</f>
        <v>(1,24)</v>
      </c>
      <c r="J23" s="435" t="str">
        <f xml:space="preserve"> "("  &amp;   TEXT(   VALUE( SUBSTITUTE(SUBSTITUTE( IF( J11=LEER,0,J11), ")", "" ), "(", "" ) ) + SUM(J14) + SUM(J15) + SUM(J22),  "0,00"   )   &amp;  ")"</f>
        <v>(1,24)</v>
      </c>
      <c r="K23" s="316"/>
      <c r="L23" s="435" t="str">
        <f xml:space="preserve"> "("  &amp;   TEXT(   VALUE( SUBSTITUTE(SUBSTITUTE( IF( L11=LEER,0,L11), ")", "" ), "(", "" ) ) + SUM(L14) + SUM(L15) + SUM(L22),  "0,00"   )   &amp;  ")"</f>
        <v>(11,72)</v>
      </c>
      <c r="M23" s="435" t="str">
        <f xml:space="preserve"> "("  &amp;   TEXT(   VALUE( SUBSTITUTE(SUBSTITUTE( IF( M11=LEER,0,M11), ")", "" ), "(", "" ) ) + SUM(M14) + SUM(M15) + SUM(M22),  "0,00"   )   &amp;  ")"</f>
        <v>(3,31)</v>
      </c>
      <c r="N23" s="435" t="str">
        <f xml:space="preserve"> "("  &amp;   TEXT(   VALUE( SUBSTITUTE(SUBSTITUTE( IF( N11=LEER,0,N11), ")", "" ), "(", "" ) ) + SUM(N14) + SUM(N15) + SUM(N22),  "0,00"   )   &amp;  ")"</f>
        <v>(0,96)</v>
      </c>
      <c r="O23" s="435" t="str">
        <f xml:space="preserve"> "("  &amp;   TEXT(   VALUE( SUBSTITUTE(SUBSTITUTE( IF( O11=LEER,0,O11), ")", "" ), "(", "" ) ) + SUM(O14) + SUM(O15) + SUM(O22),  "0,00"   )   &amp;  ")"</f>
        <v>(0,00)</v>
      </c>
      <c r="P23" s="451" t="str">
        <f xml:space="preserve"> "("  &amp;   TEXT(   VALUE( SUBSTITUTE(SUBSTITUTE( IF( P11=LEER,0,P11), ")", "" ), "(", "" ) ) + SUM(P14) + SUM(P15) + SUM(P22),  "0,00"   )   &amp;  ")"</f>
        <v>(0,00)</v>
      </c>
      <c r="U23" s="449"/>
      <c r="V23" s="449"/>
    </row>
    <row r="24" spans="2:23" ht="15.75" customHeight="1" x14ac:dyDescent="0.15">
      <c r="B24" s="452" t="s">
        <v>88</v>
      </c>
      <c r="C24" s="453"/>
      <c r="D24" s="454" t="s">
        <v>260</v>
      </c>
      <c r="E24" s="331"/>
      <c r="F24" s="455">
        <f xml:space="preserve"> SUM( F13:F22 )</f>
        <v>28.160000000000004</v>
      </c>
      <c r="G24" s="455">
        <f xml:space="preserve"> SUM( G13:G22 )</f>
        <v>28.160000000000004</v>
      </c>
      <c r="H24" s="455">
        <f xml:space="preserve"> SUM( H13:H22 )</f>
        <v>28.160000000000004</v>
      </c>
      <c r="I24" s="455">
        <f xml:space="preserve"> SUM( I13:I22 )</f>
        <v>26.87</v>
      </c>
      <c r="J24" s="455">
        <f xml:space="preserve"> SUM( J13:J22 )</f>
        <v>26.87</v>
      </c>
      <c r="K24" s="316"/>
      <c r="L24" s="316"/>
      <c r="M24" s="316"/>
      <c r="N24" s="316"/>
      <c r="O24" s="316"/>
      <c r="P24" s="317"/>
      <c r="U24" s="456">
        <f xml:space="preserve"> ROUND( Bx!$AH$10, 2 )</f>
        <v>28.16</v>
      </c>
      <c r="V24" s="456">
        <f xml:space="preserve"> U24  -  ROUND(   ( SUM($F$15:$F$18) - SUM(I15:I18) ) / ( 1 - SUM($U$19:$U$21 ) ),  2  )</f>
        <v>26.87</v>
      </c>
    </row>
    <row r="25" spans="2:23" ht="15.75" customHeight="1" x14ac:dyDescent="0.15">
      <c r="B25" s="415" t="s">
        <v>265</v>
      </c>
      <c r="C25" s="132"/>
      <c r="D25" s="208" t="s">
        <v>257</v>
      </c>
      <c r="E25" s="331"/>
      <c r="F25" s="431">
        <v>1</v>
      </c>
      <c r="G25" s="431">
        <v>1</v>
      </c>
      <c r="H25" s="431">
        <v>1</v>
      </c>
      <c r="I25" s="431">
        <v>1</v>
      </c>
      <c r="J25" s="431">
        <v>1</v>
      </c>
      <c r="K25" s="316"/>
      <c r="L25" s="316"/>
      <c r="M25" s="316"/>
      <c r="N25" s="316"/>
      <c r="O25" s="316"/>
      <c r="P25" s="317"/>
    </row>
    <row r="26" spans="2:23" ht="15.75" customHeight="1" x14ac:dyDescent="0.15">
      <c r="B26" s="415" t="s">
        <v>91</v>
      </c>
      <c r="C26" s="132"/>
      <c r="D26" s="208" t="s">
        <v>258</v>
      </c>
      <c r="E26" s="331"/>
      <c r="F26" s="431">
        <v>0.5</v>
      </c>
      <c r="G26" s="431">
        <v>0.5</v>
      </c>
      <c r="H26" s="431">
        <v>0.5</v>
      </c>
      <c r="I26" s="431">
        <v>0.5</v>
      </c>
      <c r="J26" s="431">
        <v>0.5</v>
      </c>
      <c r="K26" s="316"/>
      <c r="L26" s="316"/>
      <c r="M26" s="316"/>
      <c r="N26" s="316"/>
      <c r="O26" s="316"/>
      <c r="P26" s="317"/>
    </row>
    <row r="27" spans="2:23" ht="15.75" customHeight="1" x14ac:dyDescent="0.15">
      <c r="B27" s="439" t="s">
        <v>89</v>
      </c>
      <c r="C27" s="440"/>
      <c r="D27" s="441" t="s">
        <v>261</v>
      </c>
      <c r="E27" s="331"/>
      <c r="F27" s="442">
        <f xml:space="preserve"> SUM( F24:F26 )</f>
        <v>29.660000000000004</v>
      </c>
      <c r="G27" s="442">
        <f xml:space="preserve"> SUM( G24:G26 )</f>
        <v>29.660000000000004</v>
      </c>
      <c r="H27" s="442">
        <f xml:space="preserve"> SUM( H24:H26 )</f>
        <v>29.660000000000004</v>
      </c>
      <c r="I27" s="442">
        <f xml:space="preserve"> SUM( I24:I26 )</f>
        <v>28.37</v>
      </c>
      <c r="J27" s="442">
        <f xml:space="preserve"> SUM( J24:J26 )</f>
        <v>28.37</v>
      </c>
      <c r="K27" s="316"/>
      <c r="L27" s="316"/>
      <c r="M27" s="316"/>
      <c r="N27" s="316"/>
      <c r="O27" s="316"/>
      <c r="P27" s="317"/>
    </row>
    <row r="28" spans="2:23" ht="15.75" customHeight="1" x14ac:dyDescent="0.15">
      <c r="B28" s="415" t="s">
        <v>102</v>
      </c>
      <c r="C28" s="132"/>
      <c r="D28" s="208" t="s">
        <v>253</v>
      </c>
      <c r="E28" s="331"/>
      <c r="F28" s="431" t="s">
        <v>33</v>
      </c>
      <c r="G28" s="431" t="s">
        <v>33</v>
      </c>
      <c r="H28" s="431" t="s">
        <v>33</v>
      </c>
      <c r="I28" s="431" t="s">
        <v>33</v>
      </c>
      <c r="J28" s="431" t="s">
        <v>33</v>
      </c>
      <c r="K28" s="316"/>
      <c r="L28" s="457"/>
      <c r="M28" s="316"/>
      <c r="N28" s="316"/>
      <c r="O28" s="316"/>
      <c r="P28" s="317"/>
    </row>
    <row r="29" spans="2:23" ht="15.75" customHeight="1" x14ac:dyDescent="0.15">
      <c r="B29" s="415" t="s">
        <v>92</v>
      </c>
      <c r="C29" s="132"/>
      <c r="D29" s="208" t="s">
        <v>254</v>
      </c>
      <c r="E29" s="331"/>
      <c r="F29" s="431" t="s">
        <v>33</v>
      </c>
      <c r="G29" s="431" t="s">
        <v>33</v>
      </c>
      <c r="H29" s="431" t="s">
        <v>33</v>
      </c>
      <c r="I29" s="431" t="s">
        <v>33</v>
      </c>
      <c r="J29" s="431" t="s">
        <v>33</v>
      </c>
      <c r="K29" s="316"/>
      <c r="L29" s="457"/>
      <c r="M29" s="316"/>
      <c r="N29" s="316"/>
      <c r="O29" s="316"/>
      <c r="P29" s="317"/>
    </row>
    <row r="30" spans="2:23" ht="15.75" customHeight="1" x14ac:dyDescent="0.15">
      <c r="B30" s="439" t="s">
        <v>266</v>
      </c>
      <c r="C30" s="440"/>
      <c r="D30" s="441" t="s">
        <v>262</v>
      </c>
      <c r="E30" s="331"/>
      <c r="F30" s="442">
        <f xml:space="preserve"> SUM( F27:F29 )</f>
        <v>29.660000000000004</v>
      </c>
      <c r="G30" s="442">
        <f xml:space="preserve"> SUM( G27:G29 )</f>
        <v>29.660000000000004</v>
      </c>
      <c r="H30" s="442">
        <f xml:space="preserve"> SUM( H27:H29 )</f>
        <v>29.660000000000004</v>
      </c>
      <c r="I30" s="442">
        <f xml:space="preserve"> SUM( I27:I29 )</f>
        <v>28.37</v>
      </c>
      <c r="J30" s="442">
        <f xml:space="preserve"> SUM( J27:J29 )</f>
        <v>28.37</v>
      </c>
      <c r="K30" s="316"/>
      <c r="L30" s="316"/>
      <c r="M30" s="316"/>
      <c r="N30" s="316"/>
      <c r="O30" s="316"/>
      <c r="P30" s="317"/>
    </row>
    <row r="31" spans="2:23" ht="15.75" customHeight="1" x14ac:dyDescent="0.15">
      <c r="B31" s="415" t="s">
        <v>267</v>
      </c>
      <c r="C31" s="430"/>
      <c r="D31" s="208" t="s">
        <v>255</v>
      </c>
      <c r="E31" s="331"/>
      <c r="F31" s="431">
        <f xml:space="preserve"> ROUND( F30 * 10%, 2 )</f>
        <v>2.97</v>
      </c>
      <c r="G31" s="431">
        <f xml:space="preserve"> ROUND( G30 * 10%, 2 )</f>
        <v>2.97</v>
      </c>
      <c r="H31" s="431" t="str">
        <f xml:space="preserve"> LEER</f>
        <v>.</v>
      </c>
      <c r="I31" s="431" t="str">
        <f xml:space="preserve"> LEER</f>
        <v>.</v>
      </c>
      <c r="J31" s="431" t="str">
        <f xml:space="preserve"> LEER</f>
        <v>.</v>
      </c>
      <c r="K31" s="316"/>
      <c r="L31" s="316"/>
      <c r="M31" s="316"/>
      <c r="N31" s="316"/>
      <c r="O31" s="316"/>
      <c r="P31" s="317"/>
    </row>
    <row r="32" spans="2:23" ht="15.75" customHeight="1" x14ac:dyDescent="0.15">
      <c r="B32" s="439" t="s">
        <v>268</v>
      </c>
      <c r="C32" s="440"/>
      <c r="D32" s="441" t="s">
        <v>264</v>
      </c>
      <c r="E32" s="331"/>
      <c r="F32" s="442">
        <f xml:space="preserve"> SUM( F30:F31 )</f>
        <v>32.630000000000003</v>
      </c>
      <c r="G32" s="442">
        <f xml:space="preserve"> SUM( G30:G31 )</f>
        <v>32.630000000000003</v>
      </c>
      <c r="H32" s="442">
        <f xml:space="preserve"> SUM( H30:H31 )</f>
        <v>29.660000000000004</v>
      </c>
      <c r="I32" s="442">
        <f xml:space="preserve"> SUM( I30:I31 )</f>
        <v>28.37</v>
      </c>
      <c r="J32" s="442">
        <f xml:space="preserve"> SUM( J30:J31 )</f>
        <v>28.37</v>
      </c>
      <c r="K32" s="316"/>
      <c r="L32" s="316"/>
      <c r="M32" s="316"/>
      <c r="N32" s="316"/>
      <c r="O32" s="316"/>
      <c r="P32" s="317"/>
    </row>
    <row r="33" spans="2:23" ht="15.75" customHeight="1" x14ac:dyDescent="0.15">
      <c r="B33" s="415" t="str">
        <f xml:space="preserve"> "Risikozuschlag: " &amp; W33</f>
        <v>Risikozuschlag: 20,0 %</v>
      </c>
      <c r="C33" s="132"/>
      <c r="D33" s="208" t="s">
        <v>256</v>
      </c>
      <c r="E33" s="331"/>
      <c r="F33" s="431">
        <f xml:space="preserve"> ROUND( F30 * $U33, 2 )</f>
        <v>5.93</v>
      </c>
      <c r="G33" s="431">
        <f xml:space="preserve"> ROUND( G30 * $U33, 2 )</f>
        <v>5.93</v>
      </c>
      <c r="H33" s="431">
        <f xml:space="preserve"> ROUND( H30 * $U33, 2 )</f>
        <v>5.93</v>
      </c>
      <c r="I33" s="431">
        <f xml:space="preserve"> ROUND( I30 * $U33, 2 )</f>
        <v>5.67</v>
      </c>
      <c r="J33" s="431">
        <f xml:space="preserve"> ROUND( J30 * $U33, 2 )</f>
        <v>5.67</v>
      </c>
      <c r="K33" s="316"/>
      <c r="L33" s="316"/>
      <c r="M33" s="316"/>
      <c r="N33" s="316"/>
      <c r="O33" s="316"/>
      <c r="P33" s="317"/>
      <c r="U33" s="444">
        <v>0.2</v>
      </c>
      <c r="W33" s="446" t="str">
        <f xml:space="preserve"> TEXT( U33, "0,0 %")</f>
        <v>20,0 %</v>
      </c>
    </row>
    <row r="34" spans="2:23" ht="15.75" customHeight="1" x14ac:dyDescent="0.15">
      <c r="B34" s="439" t="s">
        <v>90</v>
      </c>
      <c r="C34" s="440"/>
      <c r="D34" s="441" t="s">
        <v>263</v>
      </c>
      <c r="E34" s="331"/>
      <c r="F34" s="442">
        <f xml:space="preserve"> SUM( F32:F33 )</f>
        <v>38.56</v>
      </c>
      <c r="G34" s="442">
        <f xml:space="preserve"> SUM( G32:G33 )</f>
        <v>38.56</v>
      </c>
      <c r="H34" s="442">
        <f xml:space="preserve"> SUM( H32:H33 )</f>
        <v>35.590000000000003</v>
      </c>
      <c r="I34" s="442">
        <f xml:space="preserve"> SUM( I32:I33 )</f>
        <v>34.04</v>
      </c>
      <c r="J34" s="442">
        <f xml:space="preserve"> SUM( J32:J33 )</f>
        <v>34.04</v>
      </c>
      <c r="K34" s="316"/>
      <c r="L34" s="316"/>
      <c r="M34" s="316"/>
      <c r="N34" s="316"/>
      <c r="O34" s="316"/>
      <c r="P34" s="317"/>
    </row>
    <row r="35" spans="2:23" ht="15.75" customHeight="1" x14ac:dyDescent="0.15">
      <c r="B35" s="415"/>
      <c r="C35" s="132"/>
      <c r="D35" s="98"/>
      <c r="E35" s="90"/>
      <c r="F35" s="458"/>
      <c r="G35" s="458"/>
      <c r="H35" s="458"/>
      <c r="I35" s="458"/>
      <c r="J35" s="458"/>
      <c r="K35" s="75"/>
      <c r="L35" s="75"/>
      <c r="M35" s="75"/>
      <c r="N35" s="75"/>
      <c r="O35" s="75"/>
      <c r="P35" s="86"/>
    </row>
    <row r="36" spans="2:23" ht="15.75" customHeight="1" x14ac:dyDescent="0.15">
      <c r="B36" s="415" t="s">
        <v>98</v>
      </c>
      <c r="C36" s="132"/>
      <c r="D36" s="98"/>
      <c r="E36" s="90"/>
      <c r="F36" s="458"/>
      <c r="G36" s="458"/>
      <c r="H36" s="458"/>
      <c r="I36" s="458"/>
      <c r="J36" s="458"/>
      <c r="K36" s="75"/>
      <c r="L36" s="75"/>
      <c r="M36" s="75"/>
      <c r="N36" s="75"/>
      <c r="O36" s="75"/>
      <c r="P36" s="86"/>
    </row>
    <row r="37" spans="2:23" ht="15.75" customHeight="1" x14ac:dyDescent="0.15">
      <c r="B37" s="139" t="s">
        <v>99</v>
      </c>
      <c r="C37" s="459"/>
      <c r="D37" s="130"/>
      <c r="E37" s="460"/>
      <c r="F37" s="461"/>
      <c r="G37" s="461"/>
      <c r="H37" s="461"/>
      <c r="I37" s="461"/>
      <c r="J37" s="461"/>
      <c r="K37" s="462"/>
      <c r="L37" s="462"/>
      <c r="M37" s="462"/>
      <c r="N37" s="462"/>
      <c r="O37" s="462"/>
      <c r="P37" s="463"/>
    </row>
  </sheetData>
  <mergeCells count="2">
    <mergeCell ref="B15:B18"/>
    <mergeCell ref="B3:P3"/>
  </mergeCells>
  <phoneticPr fontId="2" type="noConversion"/>
  <conditionalFormatting sqref="L10:P12 L14:P23">
    <cfRule type="cellIs" dxfId="25" priority="1" stopIfTrue="1" operator="notEqual">
      <formula>F10</formula>
    </cfRule>
  </conditionalFormatting>
  <pageMargins left="0.78740157499999996" right="0.78740157499999996" top="0.984251969" bottom="0.984251969" header="0.4921259845" footer="0.4921259845"/>
  <pageSetup paperSize="9" orientation="portrait"/>
  <ignoredErrors>
    <ignoredError sqref="F33:J3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E27"/>
  <sheetViews>
    <sheetView showGridLines="0" zoomScale="75" workbookViewId="0">
      <selection activeCell="C6" sqref="C6:D6"/>
    </sheetView>
  </sheetViews>
  <sheetFormatPr baseColWidth="10" defaultRowHeight="13" x14ac:dyDescent="0.15"/>
  <cols>
    <col min="1" max="29" width="10.83203125" style="95"/>
    <col min="30" max="31" width="10.83203125" style="216"/>
    <col min="32" max="16384" width="10.83203125" style="95"/>
  </cols>
  <sheetData>
    <row r="2" spans="3:57" x14ac:dyDescent="0.15">
      <c r="S2" s="521" t="s">
        <v>110</v>
      </c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G2" s="521" t="s">
        <v>111</v>
      </c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U2" s="521" t="s">
        <v>277</v>
      </c>
      <c r="AV2" s="521"/>
      <c r="AW2" s="521"/>
      <c r="AX2" s="521"/>
      <c r="AY2" s="521"/>
      <c r="AZ2" s="521"/>
      <c r="BA2" s="521"/>
      <c r="BB2" s="521"/>
      <c r="BC2" s="521"/>
      <c r="BD2" s="521"/>
      <c r="BE2" s="521"/>
    </row>
    <row r="3" spans="3:57" ht="12.5" customHeight="1" x14ac:dyDescent="0.15">
      <c r="S3" s="151" t="str">
        <f xml:space="preserve"> EING!$B$3</f>
        <v>Rundungsstellen</v>
      </c>
      <c r="T3" s="136"/>
      <c r="U3" s="136"/>
      <c r="V3" s="136"/>
      <c r="W3" s="136"/>
      <c r="X3" s="136"/>
      <c r="Y3" s="311">
        <v>4</v>
      </c>
      <c r="Z3" s="311">
        <v>2</v>
      </c>
      <c r="AA3" s="311">
        <v>4</v>
      </c>
      <c r="AB3" s="311">
        <v>2</v>
      </c>
      <c r="AC3" s="500">
        <f xml:space="preserve"> Y3</f>
        <v>4</v>
      </c>
      <c r="AD3" s="500">
        <f xml:space="preserve"> Z3</f>
        <v>2</v>
      </c>
      <c r="AE3" s="498"/>
      <c r="AG3" s="151" t="str">
        <f xml:space="preserve"> EING!$B$3</f>
        <v>Rundungsstellen</v>
      </c>
      <c r="AH3" s="136"/>
      <c r="AI3" s="136"/>
      <c r="AJ3" s="136"/>
      <c r="AK3" s="311">
        <v>2</v>
      </c>
      <c r="AL3" s="136"/>
      <c r="AM3" s="136"/>
      <c r="AN3" s="311">
        <v>2</v>
      </c>
      <c r="AO3" s="136"/>
      <c r="AP3" s="136"/>
      <c r="AQ3" s="311">
        <v>2</v>
      </c>
      <c r="AR3" s="136"/>
      <c r="AU3" s="151" t="str">
        <f xml:space="preserve"> EING!$B$3</f>
        <v>Rundungsstellen</v>
      </c>
      <c r="AV3" s="136"/>
      <c r="AW3" s="311">
        <v>4</v>
      </c>
      <c r="AX3" s="136"/>
      <c r="AY3" s="136"/>
      <c r="AZ3" s="311">
        <v>2</v>
      </c>
      <c r="BA3" s="136"/>
      <c r="BB3" s="312">
        <f xml:space="preserve"> AW3</f>
        <v>4</v>
      </c>
      <c r="BC3" s="136"/>
      <c r="BD3" s="311">
        <v>2</v>
      </c>
      <c r="BE3" s="136"/>
    </row>
    <row r="4" spans="3:57" x14ac:dyDescent="0.15">
      <c r="D4" s="464"/>
      <c r="E4" s="464"/>
      <c r="S4" s="205" t="s">
        <v>109</v>
      </c>
      <c r="T4" s="108"/>
      <c r="U4" s="108"/>
      <c r="V4" s="114" t="s">
        <v>116</v>
      </c>
      <c r="W4" s="129" t="s">
        <v>108</v>
      </c>
      <c r="X4" s="234"/>
      <c r="Y4" s="109"/>
      <c r="Z4" s="109"/>
      <c r="AA4" s="335" t="s">
        <v>113</v>
      </c>
      <c r="AB4" s="514"/>
      <c r="AC4" s="465"/>
      <c r="AD4" s="226"/>
      <c r="AG4" s="335" t="s">
        <v>109</v>
      </c>
      <c r="AH4" s="523"/>
      <c r="AI4" s="336" t="s">
        <v>116</v>
      </c>
      <c r="AJ4" s="336" t="s">
        <v>108</v>
      </c>
      <c r="AK4" s="1000" t="str">
        <f xml:space="preserve"> SUBSTITUTE(  "( " &amp; AI7 &amp; " ) 
* ( " &amp; AJ7 &amp; " )",  "_ ",  "_"  )</f>
        <v>( P_x - K_x+m ) _x000D_* ( 1+r )</v>
      </c>
      <c r="AL4" s="523"/>
      <c r="AM4" s="234"/>
      <c r="AN4" s="1000" t="str">
        <f xml:space="preserve"> SUBSTITUTE(  "" &amp; AL7 &amp; "
* " &amp; AM7 &amp; "",  "_ ",  "_"  )</f>
        <v>V_x;x+m_x000D_* r</v>
      </c>
      <c r="AO4" s="523"/>
      <c r="AP4" s="234"/>
      <c r="AQ4" s="1003" t="str">
        <f xml:space="preserve"> SUBSTITUTE(  "" &amp; AO7 &amp; "
* " &amp; AP7 &amp; "",  "_ ",  "_"  )</f>
        <v>s_x+m+1_x000D_* V_x;x+m+1</v>
      </c>
      <c r="AR4" s="1005" t="s">
        <v>7</v>
      </c>
      <c r="AU4" s="335" t="s">
        <v>109</v>
      </c>
      <c r="AV4" s="1009" t="s">
        <v>112</v>
      </c>
      <c r="AW4" s="335" t="s">
        <v>108</v>
      </c>
      <c r="AX4" s="108"/>
      <c r="AY4" s="108"/>
      <c r="AZ4" s="1003" t="str">
        <f xml:space="preserve"> SUBSTITUTE(  "" &amp; AW7 &amp; " * " &amp; CLEAN(AX7) &amp; "
- " &amp; CLEAN(AY7),  "_ ",  "_"  )</f>
        <v>v * V_x;x+m+1_x000D_- V_x;x+m</v>
      </c>
      <c r="BA4" s="107"/>
      <c r="BB4" s="336" t="s">
        <v>108</v>
      </c>
      <c r="BC4" s="108"/>
      <c r="BD4" s="1003" t="str">
        <f xml:space="preserve"> SUBSTITUTE(  "" &amp; BA7 &amp; " * " &amp; BB7 &amp; "
* " &amp; CLEAN(BC7),  "_ ",  "_"  )</f>
        <v>s_x+m * v_x000D_* V_x;x+m+1</v>
      </c>
      <c r="BE4" s="1005" t="s">
        <v>7</v>
      </c>
    </row>
    <row r="5" spans="3:57" ht="12.5" customHeight="1" x14ac:dyDescent="0.15">
      <c r="D5" s="216"/>
      <c r="E5" s="216"/>
      <c r="H5" s="216"/>
      <c r="I5" s="216"/>
      <c r="K5" s="216"/>
      <c r="L5" s="216"/>
      <c r="M5" s="216"/>
      <c r="N5" s="216"/>
      <c r="O5" s="216"/>
      <c r="P5" s="216"/>
      <c r="Q5" s="216"/>
      <c r="R5" s="216"/>
      <c r="S5" s="118"/>
      <c r="T5" s="96"/>
      <c r="U5" s="96"/>
      <c r="V5" s="208">
        <f xml:space="preserve"> G7</f>
        <v>18.48</v>
      </c>
      <c r="W5" s="502">
        <f xml:space="preserve"> Bx!$D$5</f>
        <v>2.5000000000000001E-2</v>
      </c>
      <c r="X5" s="466"/>
      <c r="Y5" s="99"/>
      <c r="Z5" s="99"/>
      <c r="AA5" s="515">
        <f xml:space="preserve"> Bx!$D$6</f>
        <v>0.97560000000000002</v>
      </c>
      <c r="AB5" s="499"/>
      <c r="AC5" s="218"/>
      <c r="AD5" s="230"/>
      <c r="AG5" s="340"/>
      <c r="AH5" s="340"/>
      <c r="AI5" s="220">
        <f xml:space="preserve"> $V$5</f>
        <v>18.48</v>
      </c>
      <c r="AJ5" s="466">
        <f xml:space="preserve"> Bx!$D$5</f>
        <v>2.5000000000000001E-2</v>
      </c>
      <c r="AK5" s="1001"/>
      <c r="AL5" s="340"/>
      <c r="AM5" s="220"/>
      <c r="AN5" s="1001"/>
      <c r="AO5" s="340"/>
      <c r="AP5" s="220"/>
      <c r="AQ5" s="1004"/>
      <c r="AR5" s="1006"/>
      <c r="AU5" s="97"/>
      <c r="AV5" s="1010"/>
      <c r="AW5" s="538">
        <f xml:space="preserve"> Bx!$D$5</f>
        <v>2.5000000000000001E-2</v>
      </c>
      <c r="AX5" s="96"/>
      <c r="AY5" s="96"/>
      <c r="AZ5" s="1004"/>
      <c r="BA5" s="97"/>
      <c r="BB5" s="467">
        <f xml:space="preserve"> Bx!$D$5</f>
        <v>2.5000000000000001E-2</v>
      </c>
      <c r="BC5" s="96"/>
      <c r="BD5" s="1004"/>
      <c r="BE5" s="1006"/>
    </row>
    <row r="6" spans="3:57" x14ac:dyDescent="0.15">
      <c r="C6" s="151" t="str">
        <f xml:space="preserve"> EING!$B$3</f>
        <v>Rundungsstellen</v>
      </c>
      <c r="D6" s="136"/>
      <c r="E6" s="136"/>
      <c r="F6" s="311">
        <v>2</v>
      </c>
      <c r="G6" s="136"/>
      <c r="H6" s="136"/>
      <c r="I6" s="136"/>
      <c r="J6" s="136"/>
      <c r="K6" s="136"/>
      <c r="Q6" s="464"/>
      <c r="R6" s="464"/>
      <c r="S6" s="118"/>
      <c r="T6" s="98"/>
      <c r="U6" s="98"/>
      <c r="V6" s="98"/>
      <c r="W6" s="118"/>
      <c r="X6" s="98"/>
      <c r="Y6" s="99"/>
      <c r="Z6" s="99"/>
      <c r="AA6" s="342"/>
      <c r="AB6" s="218"/>
      <c r="AC6" s="218"/>
      <c r="AD6" s="230"/>
      <c r="AG6" s="340"/>
      <c r="AH6" s="340"/>
      <c r="AI6" s="220"/>
      <c r="AJ6" s="220"/>
      <c r="AK6" s="1001"/>
      <c r="AL6" s="340"/>
      <c r="AM6" s="220"/>
      <c r="AN6" s="1001"/>
      <c r="AO6" s="340"/>
      <c r="AP6" s="220"/>
      <c r="AQ6" s="1004"/>
      <c r="AR6" s="1006"/>
      <c r="AU6" s="97"/>
      <c r="AV6" s="1010"/>
      <c r="AW6" s="97"/>
      <c r="AX6" s="96"/>
      <c r="AY6" s="96"/>
      <c r="AZ6" s="1004"/>
      <c r="BA6" s="97"/>
      <c r="BB6" s="96"/>
      <c r="BC6" s="96"/>
      <c r="BD6" s="1004"/>
      <c r="BE6" s="1006"/>
    </row>
    <row r="7" spans="3:57" x14ac:dyDescent="0.15">
      <c r="C7" s="107"/>
      <c r="D7" s="109"/>
      <c r="E7" s="494"/>
      <c r="F7" s="205" t="str">
        <f xml:space="preserve"> Bx!$AD$8</f>
        <v>P_x</v>
      </c>
      <c r="G7" s="496">
        <f t="array" ref="G7:K7" xml:space="preserve"> TRANSPOSE( Bx!$AD$10:$AD$14 )</f>
        <v>18.48</v>
      </c>
      <c r="H7" s="496">
        <v>21.54</v>
      </c>
      <c r="I7" s="496">
        <v>26.86</v>
      </c>
      <c r="J7" s="496">
        <v>34.979999999999997</v>
      </c>
      <c r="K7" s="497">
        <v>50</v>
      </c>
      <c r="S7" s="905" t="s">
        <v>107</v>
      </c>
      <c r="T7" s="990" t="s">
        <v>105</v>
      </c>
      <c r="U7" s="982" t="s">
        <v>269</v>
      </c>
      <c r="V7" s="988" t="s">
        <v>104</v>
      </c>
      <c r="W7" s="984" t="s">
        <v>103</v>
      </c>
      <c r="X7" s="982" t="s">
        <v>270</v>
      </c>
      <c r="Y7" s="996" t="s">
        <v>271</v>
      </c>
      <c r="Z7" s="994" t="s">
        <v>106</v>
      </c>
      <c r="AA7" s="986" t="s">
        <v>29</v>
      </c>
      <c r="AB7" s="992" t="s">
        <v>272</v>
      </c>
      <c r="AC7" s="988" t="s">
        <v>273</v>
      </c>
      <c r="AD7" s="998" t="str">
        <f xml:space="preserve"> Z7</f>
        <v>V_ x;x+m+1</v>
      </c>
      <c r="AE7" s="333"/>
      <c r="AG7" s="986" t="s">
        <v>107</v>
      </c>
      <c r="AH7" s="905" t="s">
        <v>269</v>
      </c>
      <c r="AI7" s="992" t="s">
        <v>104</v>
      </c>
      <c r="AJ7" s="992" t="s">
        <v>103</v>
      </c>
      <c r="AK7" s="1001"/>
      <c r="AL7" s="986" t="s">
        <v>105</v>
      </c>
      <c r="AM7" s="992" t="s">
        <v>108</v>
      </c>
      <c r="AN7" s="1001"/>
      <c r="AO7" s="986" t="s">
        <v>114</v>
      </c>
      <c r="AP7" s="992" t="s">
        <v>106</v>
      </c>
      <c r="AQ7" s="1004"/>
      <c r="AR7" s="1006"/>
      <c r="AU7" s="986" t="s">
        <v>19</v>
      </c>
      <c r="AV7" s="1010"/>
      <c r="AW7" s="986" t="s">
        <v>113</v>
      </c>
      <c r="AX7" s="992" t="s">
        <v>276</v>
      </c>
      <c r="AY7" s="992" t="s">
        <v>275</v>
      </c>
      <c r="AZ7" s="1004"/>
      <c r="BA7" s="986" t="s">
        <v>115</v>
      </c>
      <c r="BB7" s="992" t="s">
        <v>113</v>
      </c>
      <c r="BC7" s="992" t="str">
        <f xml:space="preserve"> AX7</f>
        <v>V__x000D_x;x+m+1</v>
      </c>
      <c r="BD7" s="1004"/>
      <c r="BE7" s="1006"/>
    </row>
    <row r="8" spans="3:57" x14ac:dyDescent="0.15">
      <c r="C8" s="488" t="str">
        <f xml:space="preserve"> Bx!Q8 &amp; "+m"</f>
        <v>GA_x+m</v>
      </c>
      <c r="D8" s="489" t="str">
        <f xml:space="preserve"> Bx!R8 &amp; "+m"</f>
        <v>a_x+m</v>
      </c>
      <c r="E8" s="495" t="s">
        <v>50</v>
      </c>
      <c r="F8" s="468" t="s">
        <v>18</v>
      </c>
      <c r="G8" s="110">
        <f t="array" ref="G8:K8" xml:space="preserve"> TRANSPOSE( E10:E14 )</f>
        <v>1</v>
      </c>
      <c r="H8" s="104">
        <v>2</v>
      </c>
      <c r="I8" s="104">
        <v>3</v>
      </c>
      <c r="J8" s="104">
        <v>4</v>
      </c>
      <c r="K8" s="111">
        <v>5</v>
      </c>
      <c r="S8" s="906"/>
      <c r="T8" s="991"/>
      <c r="U8" s="983"/>
      <c r="V8" s="989"/>
      <c r="W8" s="985" t="s">
        <v>103</v>
      </c>
      <c r="X8" s="983"/>
      <c r="Y8" s="997"/>
      <c r="Z8" s="995"/>
      <c r="AA8" s="987" t="s">
        <v>29</v>
      </c>
      <c r="AB8" s="993"/>
      <c r="AC8" s="989"/>
      <c r="AD8" s="999"/>
      <c r="AE8" s="333"/>
      <c r="AG8" s="987"/>
      <c r="AH8" s="906"/>
      <c r="AI8" s="993"/>
      <c r="AJ8" s="993"/>
      <c r="AK8" s="1002"/>
      <c r="AL8" s="987"/>
      <c r="AM8" s="993"/>
      <c r="AN8" s="1002"/>
      <c r="AO8" s="987" t="str">
        <f xml:space="preserve"> sx!N8</f>
        <v>s_x</v>
      </c>
      <c r="AP8" s="993"/>
      <c r="AQ8" s="1007"/>
      <c r="AR8" s="1008"/>
      <c r="AU8" s="986"/>
      <c r="AV8" s="1010"/>
      <c r="AW8" s="986"/>
      <c r="AX8" s="992"/>
      <c r="AY8" s="992"/>
      <c r="AZ8" s="1004"/>
      <c r="BA8" s="986"/>
      <c r="BB8" s="992"/>
      <c r="BC8" s="992"/>
      <c r="BD8" s="1004"/>
      <c r="BE8" s="1006"/>
    </row>
    <row r="9" spans="3:57" ht="12.5" customHeight="1" x14ac:dyDescent="0.15">
      <c r="C9" s="97"/>
      <c r="D9" s="99"/>
      <c r="E9" s="130" t="s">
        <v>19</v>
      </c>
      <c r="F9" s="98"/>
      <c r="G9" s="96"/>
      <c r="H9" s="96"/>
      <c r="I9" s="96"/>
      <c r="J9" s="96"/>
      <c r="K9" s="99"/>
      <c r="S9" s="97"/>
      <c r="T9" s="469"/>
      <c r="V9" s="417"/>
      <c r="W9" s="507"/>
      <c r="X9" s="96"/>
      <c r="Y9" s="511"/>
      <c r="Z9" s="504"/>
      <c r="AA9" s="342"/>
      <c r="AB9" s="218"/>
      <c r="AC9" s="417"/>
      <c r="AD9" s="516"/>
      <c r="AE9" s="218"/>
      <c r="AG9" s="340"/>
      <c r="AH9" s="340"/>
      <c r="AI9" s="220"/>
      <c r="AJ9" s="220"/>
      <c r="AK9" s="524"/>
      <c r="AL9" s="340"/>
      <c r="AM9" s="220"/>
      <c r="AN9" s="524"/>
      <c r="AO9" s="340"/>
      <c r="AP9" s="220"/>
      <c r="AQ9" s="524"/>
      <c r="AR9" s="470"/>
      <c r="AU9" s="533"/>
      <c r="AV9" s="535"/>
      <c r="AW9" s="539"/>
      <c r="AX9" s="465"/>
      <c r="AY9" s="465"/>
      <c r="AZ9" s="540"/>
      <c r="BA9" s="533"/>
      <c r="BB9" s="465"/>
      <c r="BC9" s="465"/>
      <c r="BD9" s="540"/>
      <c r="BE9" s="534"/>
    </row>
    <row r="10" spans="3:57" x14ac:dyDescent="0.15">
      <c r="C10" s="490">
        <f xml:space="preserve"> Bx!Q10</f>
        <v>70.040000000000006</v>
      </c>
      <c r="D10" s="491">
        <f xml:space="preserve"> Bx!R10</f>
        <v>3.79</v>
      </c>
      <c r="E10" s="99">
        <f xml:space="preserve">  EING!B10</f>
        <v>1</v>
      </c>
      <c r="F10" s="471"/>
      <c r="G10" s="442">
        <f t="shared" ref="G10:K14" si="0" xml:space="preserve"> IF(     G$8&gt;$E10,    LEER,    ROUND( $C10 - G$7 * $D10, $F$6 )     )</f>
        <v>0</v>
      </c>
      <c r="H10" s="442" t="str">
        <f t="shared" si="0"/>
        <v>.</v>
      </c>
      <c r="I10" s="442" t="str">
        <f t="shared" si="0"/>
        <v>.</v>
      </c>
      <c r="J10" s="442" t="str">
        <f t="shared" si="0"/>
        <v>.</v>
      </c>
      <c r="K10" s="472" t="str">
        <f t="shared" si="0"/>
        <v>.</v>
      </c>
      <c r="S10" s="97">
        <f xml:space="preserve"> E10</f>
        <v>1</v>
      </c>
      <c r="T10" s="473" t="str">
        <f xml:space="preserve"> LEER</f>
        <v>.</v>
      </c>
      <c r="U10" s="208">
        <f xml:space="preserve"> Kx!$BC10</f>
        <v>10</v>
      </c>
      <c r="V10" s="441" t="str">
        <f xml:space="preserve"> LEER</f>
        <v>.</v>
      </c>
      <c r="W10" s="508" t="str">
        <f xml:space="preserve"> LEER</f>
        <v>.</v>
      </c>
      <c r="X10" s="215">
        <f xml:space="preserve"> Bx!C10</f>
        <v>100</v>
      </c>
      <c r="Y10" s="512" t="str">
        <f xml:space="preserve"> LEER</f>
        <v>.</v>
      </c>
      <c r="Z10" s="503">
        <f xml:space="preserve"> ROUND( SUM( T10, V10 ) * SUM(W10) * SUM(Y10), Z$3 )</f>
        <v>0</v>
      </c>
      <c r="AA10" s="501">
        <f xml:space="preserve"> ROUND( AA$5 ^ S10, AA$3 )</f>
        <v>0.97560000000000002</v>
      </c>
      <c r="AB10" s="361">
        <f xml:space="preserve"> ROUND( X10 * AA10, AB$3 )</f>
        <v>97.56</v>
      </c>
      <c r="AC10" s="506" t="str">
        <f xml:space="preserve"> LEER</f>
        <v>.</v>
      </c>
      <c r="AD10" s="517">
        <f xml:space="preserve"> ROUND( SUM( T10, V10 ) * SUM(AC10), AD$3 )</f>
        <v>0</v>
      </c>
      <c r="AE10" s="499"/>
      <c r="AG10" s="340">
        <f xml:space="preserve"> S10</f>
        <v>1</v>
      </c>
      <c r="AH10" s="229">
        <f xml:space="preserve"> Kx!$BC10</f>
        <v>10</v>
      </c>
      <c r="AI10" s="220" t="str">
        <f xml:space="preserve"> LEER</f>
        <v>.</v>
      </c>
      <c r="AJ10" s="220" t="str">
        <f xml:space="preserve"> LEER</f>
        <v>.</v>
      </c>
      <c r="AK10" s="525" t="str">
        <f xml:space="preserve"> IF(  AND( AI10=LEER, AJ10=LEER),  LEER,   ROUND( AI10 * AJ10, AK$3 )   )</f>
        <v>.</v>
      </c>
      <c r="AL10" s="340" t="str">
        <f xml:space="preserve"> LEER</f>
        <v>.</v>
      </c>
      <c r="AM10" s="220" t="str">
        <f xml:space="preserve"> LEER</f>
        <v>.</v>
      </c>
      <c r="AN10" s="525" t="str">
        <f xml:space="preserve"> IF(  AND( AL10=LEER, AM10=LEER),  LEER,   ROUND( AL10 * AM10, AN$3 )   )</f>
        <v>.</v>
      </c>
      <c r="AO10" s="529">
        <f xml:space="preserve"> sx!$N10</f>
        <v>0.09</v>
      </c>
      <c r="AP10" s="437">
        <f xml:space="preserve"> Z10</f>
        <v>0</v>
      </c>
      <c r="AQ10" s="525" t="str">
        <f xml:space="preserve"> IF(  AND( AO9=0, AP10=0),  LEER,   ROUND( AO9 * AP10, AQ$3 )   )</f>
        <v>.</v>
      </c>
      <c r="AR10" s="475">
        <f xml:space="preserve"> SUM(AK10, AN10, AQ10 )</f>
        <v>0</v>
      </c>
      <c r="AU10" s="340">
        <f xml:space="preserve"> E10</f>
        <v>1</v>
      </c>
      <c r="AV10" s="536">
        <f xml:space="preserve"> Kx!$BC10</f>
        <v>10</v>
      </c>
      <c r="AW10" s="541">
        <f xml:space="preserve"> ROUND( 1 / ( 1+ $AW$5 ), AW$3 )</f>
        <v>0.97560000000000002</v>
      </c>
      <c r="AX10" s="222">
        <f xml:space="preserve"> Z11</f>
        <v>9.5500000000000007</v>
      </c>
      <c r="AY10" s="222">
        <f xml:space="preserve"> Z10</f>
        <v>0</v>
      </c>
      <c r="AZ10" s="525">
        <f xml:space="preserve"> ROUND( AW10 * AX10 - AY10, AZ$3 )</f>
        <v>9.32</v>
      </c>
      <c r="BA10" s="529">
        <f xml:space="preserve"> sx!$N10</f>
        <v>0.09</v>
      </c>
      <c r="BB10" s="476">
        <f xml:space="preserve"> ROUND( 1 / ( 1+ $AW$5 ), BB$3 )</f>
        <v>0.97560000000000002</v>
      </c>
      <c r="BC10" s="222">
        <f xml:space="preserve"> AX10</f>
        <v>9.5500000000000007</v>
      </c>
      <c r="BD10" s="525">
        <f xml:space="preserve"> ROUND( BA10 * BB10 * BC10, BD$3 )</f>
        <v>0.84</v>
      </c>
      <c r="BE10" s="475">
        <f xml:space="preserve"> SUM( AV10, AZ10 ) - SUM( BD10 )</f>
        <v>18.48</v>
      </c>
    </row>
    <row r="11" spans="3:57" x14ac:dyDescent="0.15">
      <c r="C11" s="490">
        <f xml:space="preserve"> Bx!Q11</f>
        <v>67.63</v>
      </c>
      <c r="D11" s="491">
        <f xml:space="preserve"> Bx!R11</f>
        <v>3.14</v>
      </c>
      <c r="E11" s="99">
        <f xml:space="preserve">  EING!B11</f>
        <v>2</v>
      </c>
      <c r="F11" s="471"/>
      <c r="G11" s="442">
        <f t="shared" si="0"/>
        <v>9.6</v>
      </c>
      <c r="H11" s="442">
        <f t="shared" si="0"/>
        <v>-0.01</v>
      </c>
      <c r="I11" s="442" t="str">
        <f t="shared" si="0"/>
        <v>.</v>
      </c>
      <c r="J11" s="442" t="str">
        <f t="shared" si="0"/>
        <v>.</v>
      </c>
      <c r="K11" s="472" t="str">
        <f t="shared" si="0"/>
        <v>.</v>
      </c>
      <c r="S11" s="97">
        <f xml:space="preserve"> E11</f>
        <v>2</v>
      </c>
      <c r="T11" s="473">
        <f xml:space="preserve"> Z10</f>
        <v>0</v>
      </c>
      <c r="U11" s="208">
        <f xml:space="preserve"> Kx!$BC11</f>
        <v>10</v>
      </c>
      <c r="V11" s="441">
        <f xml:space="preserve"> $V$5 - U10</f>
        <v>8.48</v>
      </c>
      <c r="W11" s="508">
        <f xml:space="preserve"> 1 + $W$5</f>
        <v>1.0249999999999999</v>
      </c>
      <c r="X11" s="215">
        <f xml:space="preserve"> Bx!C11</f>
        <v>91</v>
      </c>
      <c r="Y11" s="512">
        <f xml:space="preserve"> ROUND( X10 / X11, Y$3 )</f>
        <v>1.0989</v>
      </c>
      <c r="Z11" s="503">
        <f xml:space="preserve"> ROUND( SUM( T11, V11 ) * SUM(W11) * SUM(Y11), Z$3 )</f>
        <v>9.5500000000000007</v>
      </c>
      <c r="AA11" s="501">
        <f xml:space="preserve"> ROUND( AA$5 ^ S11, AA$3 )</f>
        <v>0.95179999999999998</v>
      </c>
      <c r="AB11" s="361">
        <f xml:space="preserve"> ROUND( X11 * AA11, AB$3 )</f>
        <v>86.61</v>
      </c>
      <c r="AC11" s="506">
        <f xml:space="preserve"> ROUND( AB10 / AB11, AC$3 )</f>
        <v>1.1264000000000001</v>
      </c>
      <c r="AD11" s="517">
        <f xml:space="preserve"> ROUND( SUM( T11, V11 ) * SUM(AC11), AD$3 )</f>
        <v>9.5500000000000007</v>
      </c>
      <c r="AG11" s="340">
        <f xml:space="preserve"> S11</f>
        <v>2</v>
      </c>
      <c r="AH11" s="229">
        <f xml:space="preserve"> Kx!$BC11</f>
        <v>10</v>
      </c>
      <c r="AI11" s="474">
        <f xml:space="preserve"> $AI$5 - AH10</f>
        <v>8.48</v>
      </c>
      <c r="AJ11" s="220">
        <f xml:space="preserve"> 1 + AJ$5</f>
        <v>1.0249999999999999</v>
      </c>
      <c r="AK11" s="525">
        <f xml:space="preserve"> IF(  AND( AI11=LEER, AJ11=LEER),  LEER,   ROUND( AI11 * AJ11, AK$3 )   )</f>
        <v>8.69</v>
      </c>
      <c r="AL11" s="526">
        <f xml:space="preserve"> Z10</f>
        <v>0</v>
      </c>
      <c r="AM11" s="477">
        <f xml:space="preserve"> $AJ$5</f>
        <v>2.5000000000000001E-2</v>
      </c>
      <c r="AN11" s="525">
        <f xml:space="preserve"> IF(  AND( AL11=LEER, AM11=LEER),  LEER,   ROUND( AL11 * AM11, AN$3 )   )</f>
        <v>0</v>
      </c>
      <c r="AO11" s="529">
        <f xml:space="preserve"> sx!$N11</f>
        <v>0.11</v>
      </c>
      <c r="AP11" s="437">
        <f xml:space="preserve"> Z11</f>
        <v>9.5500000000000007</v>
      </c>
      <c r="AQ11" s="525">
        <f xml:space="preserve"> IF(  AND( AO10=0, AP11=0),  LEER,   ROUND( AO10 * AP11, AQ$3 )   )</f>
        <v>0.86</v>
      </c>
      <c r="AR11" s="475">
        <f xml:space="preserve"> SUM(AK11, AN11, AQ11 )</f>
        <v>9.5499999999999989</v>
      </c>
      <c r="AU11" s="340">
        <f xml:space="preserve"> E11</f>
        <v>2</v>
      </c>
      <c r="AV11" s="536">
        <f xml:space="preserve"> Kx!$BC11</f>
        <v>10</v>
      </c>
      <c r="AW11" s="541">
        <f xml:space="preserve"> ROUND( 1 / ( 1+ $AW$5 ), AW$3 )</f>
        <v>0.97560000000000002</v>
      </c>
      <c r="AX11" s="222">
        <f xml:space="preserve"> Z12</f>
        <v>20.76</v>
      </c>
      <c r="AY11" s="222">
        <f xml:space="preserve"> Z11</f>
        <v>9.5500000000000007</v>
      </c>
      <c r="AZ11" s="525">
        <f xml:space="preserve"> ROUND( AW11 * AX11 - AY11, AZ$3 )</f>
        <v>10.7</v>
      </c>
      <c r="BA11" s="529">
        <f xml:space="preserve"> sx!$N11</f>
        <v>0.11</v>
      </c>
      <c r="BB11" s="476">
        <f xml:space="preserve"> ROUND( 1 / ( 1+ $AW$5 ), BB$3 )</f>
        <v>0.97560000000000002</v>
      </c>
      <c r="BC11" s="222">
        <f xml:space="preserve"> AX11</f>
        <v>20.76</v>
      </c>
      <c r="BD11" s="525">
        <f xml:space="preserve"> ROUND( BA11 * BB11 * BC11, BD$3 )</f>
        <v>2.23</v>
      </c>
      <c r="BE11" s="475">
        <f xml:space="preserve"> SUM( AV11, AZ11 ) - SUM( BD11 )</f>
        <v>18.47</v>
      </c>
    </row>
    <row r="12" spans="3:57" x14ac:dyDescent="0.15">
      <c r="C12" s="490">
        <f xml:space="preserve"> Bx!Q12</f>
        <v>66.349999999999994</v>
      </c>
      <c r="D12" s="491">
        <f xml:space="preserve"> Bx!R12</f>
        <v>2.4700000000000002</v>
      </c>
      <c r="E12" s="99">
        <f xml:space="preserve">  EING!B12</f>
        <v>3</v>
      </c>
      <c r="F12" s="471"/>
      <c r="G12" s="442">
        <f t="shared" si="0"/>
        <v>20.7</v>
      </c>
      <c r="H12" s="442">
        <f t="shared" si="0"/>
        <v>13.15</v>
      </c>
      <c r="I12" s="442">
        <f t="shared" si="0"/>
        <v>0.01</v>
      </c>
      <c r="J12" s="442" t="str">
        <f t="shared" si="0"/>
        <v>.</v>
      </c>
      <c r="K12" s="472" t="str">
        <f t="shared" si="0"/>
        <v>.</v>
      </c>
      <c r="S12" s="97">
        <f xml:space="preserve"> E12</f>
        <v>3</v>
      </c>
      <c r="T12" s="473">
        <f xml:space="preserve"> Z11</f>
        <v>9.5500000000000007</v>
      </c>
      <c r="U12" s="208">
        <f xml:space="preserve"> Kx!$BC12</f>
        <v>15</v>
      </c>
      <c r="V12" s="441">
        <f xml:space="preserve"> $V$5 - U11</f>
        <v>8.48</v>
      </c>
      <c r="W12" s="508">
        <f xml:space="preserve"> 1 + $W$5</f>
        <v>1.0249999999999999</v>
      </c>
      <c r="X12" s="215">
        <f xml:space="preserve"> Bx!C12</f>
        <v>81</v>
      </c>
      <c r="Y12" s="512">
        <f xml:space="preserve"> ROUND( X11 / X12, Y$3 )</f>
        <v>1.1234999999999999</v>
      </c>
      <c r="Z12" s="503">
        <f xml:space="preserve"> ROUND( SUM( T12, V12 ) * SUM(W12) * SUM(Y12), Z$3 )</f>
        <v>20.76</v>
      </c>
      <c r="AA12" s="501">
        <f xml:space="preserve"> ROUND( AA$5 ^ S12, AA$3 )</f>
        <v>0.92859999999999998</v>
      </c>
      <c r="AB12" s="361">
        <f xml:space="preserve"> ROUND( X12 * AA12, AB$3 )</f>
        <v>75.22</v>
      </c>
      <c r="AC12" s="506">
        <f xml:space="preserve"> ROUND( AB11 / AB12, AC$3 )</f>
        <v>1.1514</v>
      </c>
      <c r="AD12" s="517">
        <f xml:space="preserve"> ROUND( SUM( T12, V12 ) * SUM(AC12), AD$3 )</f>
        <v>20.76</v>
      </c>
      <c r="AG12" s="340">
        <f xml:space="preserve"> S12</f>
        <v>3</v>
      </c>
      <c r="AH12" s="229">
        <f xml:space="preserve"> Kx!$BC12</f>
        <v>15</v>
      </c>
      <c r="AI12" s="474">
        <f xml:space="preserve"> $AI$5 - AH11</f>
        <v>8.48</v>
      </c>
      <c r="AJ12" s="220">
        <f xml:space="preserve"> 1 + AJ$5</f>
        <v>1.0249999999999999</v>
      </c>
      <c r="AK12" s="525">
        <f xml:space="preserve"> IF(  AND( AI12=LEER, AJ12=LEER),  LEER,   ROUND( AI12 * AJ12, AK$3 )   )</f>
        <v>8.69</v>
      </c>
      <c r="AL12" s="526">
        <f xml:space="preserve"> Z11</f>
        <v>9.5500000000000007</v>
      </c>
      <c r="AM12" s="477">
        <f xml:space="preserve"> $AJ$5</f>
        <v>2.5000000000000001E-2</v>
      </c>
      <c r="AN12" s="525">
        <f xml:space="preserve"> IF(  AND( AL12=LEER, AM12=LEER),  LEER,   ROUND( AL12 * AM12, AN$3 )   )</f>
        <v>0.24</v>
      </c>
      <c r="AO12" s="529">
        <f xml:space="preserve"> sx!$N12</f>
        <v>0.1</v>
      </c>
      <c r="AP12" s="437">
        <f xml:space="preserve"> Z12</f>
        <v>20.76</v>
      </c>
      <c r="AQ12" s="525">
        <f xml:space="preserve"> IF(  AND( AO11=0, AP12=0),  LEER,   ROUND( AO11 * AP12, AQ$3 )   )</f>
        <v>2.2799999999999998</v>
      </c>
      <c r="AR12" s="475">
        <f xml:space="preserve"> SUM(AK12, AN12, AQ12 )</f>
        <v>11.209999999999999</v>
      </c>
      <c r="AU12" s="340">
        <f xml:space="preserve"> E12</f>
        <v>3</v>
      </c>
      <c r="AV12" s="536">
        <f xml:space="preserve"> Kx!$BC12</f>
        <v>15</v>
      </c>
      <c r="AW12" s="541">
        <f xml:space="preserve"> ROUND( 1 / ( 1+ $AW$5 ), AW$3 )</f>
        <v>0.97560000000000002</v>
      </c>
      <c r="AX12" s="222">
        <f xml:space="preserve"> Z13</f>
        <v>27.57</v>
      </c>
      <c r="AY12" s="222">
        <f xml:space="preserve"> Z12</f>
        <v>20.76</v>
      </c>
      <c r="AZ12" s="525">
        <f xml:space="preserve"> ROUND( AW12 * AX12 - AY12, AZ$3 )</f>
        <v>6.14</v>
      </c>
      <c r="BA12" s="529">
        <f xml:space="preserve"> sx!$N12</f>
        <v>0.1</v>
      </c>
      <c r="BB12" s="476">
        <f xml:space="preserve"> ROUND( 1 / ( 1+ $AW$5 ), BB$3 )</f>
        <v>0.97560000000000002</v>
      </c>
      <c r="BC12" s="222">
        <f xml:space="preserve"> AX12</f>
        <v>27.57</v>
      </c>
      <c r="BD12" s="525">
        <f xml:space="preserve"> ROUND( BA12 * BB12 * BC12, BD$3 )</f>
        <v>2.69</v>
      </c>
      <c r="BE12" s="475">
        <f xml:space="preserve"> SUM( AV12, AZ12 ) - SUM( BD12 )</f>
        <v>18.45</v>
      </c>
    </row>
    <row r="13" spans="3:57" x14ac:dyDescent="0.15">
      <c r="C13" s="490">
        <f xml:space="preserve"> Bx!Q13</f>
        <v>58.41</v>
      </c>
      <c r="D13" s="491">
        <f xml:space="preserve"> Bx!R13</f>
        <v>1.67</v>
      </c>
      <c r="E13" s="99">
        <f xml:space="preserve">  EING!B13</f>
        <v>4</v>
      </c>
      <c r="F13" s="471"/>
      <c r="G13" s="442">
        <f t="shared" si="0"/>
        <v>27.55</v>
      </c>
      <c r="H13" s="442">
        <f t="shared" si="0"/>
        <v>22.44</v>
      </c>
      <c r="I13" s="442">
        <f t="shared" si="0"/>
        <v>13.55</v>
      </c>
      <c r="J13" s="442">
        <f t="shared" si="0"/>
        <v>-0.01</v>
      </c>
      <c r="K13" s="472" t="str">
        <f t="shared" si="0"/>
        <v>.</v>
      </c>
      <c r="S13" s="97">
        <f xml:space="preserve"> E13</f>
        <v>4</v>
      </c>
      <c r="T13" s="473">
        <f xml:space="preserve"> Z12</f>
        <v>20.76</v>
      </c>
      <c r="U13" s="208">
        <f xml:space="preserve"> Kx!$BC13</f>
        <v>25</v>
      </c>
      <c r="V13" s="441">
        <f xml:space="preserve"> $V$5 - U12</f>
        <v>3.4800000000000004</v>
      </c>
      <c r="W13" s="508">
        <f xml:space="preserve"> 1 + $W$5</f>
        <v>1.0249999999999999</v>
      </c>
      <c r="X13" s="215">
        <f xml:space="preserve"> Bx!C13</f>
        <v>73</v>
      </c>
      <c r="Y13" s="512">
        <f xml:space="preserve"> ROUND( X12 / X13, Y$3 )</f>
        <v>1.1095999999999999</v>
      </c>
      <c r="Z13" s="503">
        <f xml:space="preserve"> ROUND( SUM( T13, V13 ) * SUM(W13) * SUM(Y13), Z$3 )</f>
        <v>27.57</v>
      </c>
      <c r="AA13" s="501">
        <f xml:space="preserve"> ROUND( AA$5 ^ S13, AA$3 )</f>
        <v>0.90590000000000004</v>
      </c>
      <c r="AB13" s="361">
        <f xml:space="preserve"> ROUND( X13 * AA13, AB$3 )</f>
        <v>66.13</v>
      </c>
      <c r="AC13" s="506">
        <f xml:space="preserve"> ROUND( AB12 / AB13, AC$3 )</f>
        <v>1.1375</v>
      </c>
      <c r="AD13" s="517">
        <f xml:space="preserve"> ROUND( SUM( T13, V13 ) * SUM(AC13), AD$3 )</f>
        <v>27.57</v>
      </c>
      <c r="AG13" s="340">
        <f xml:space="preserve"> S13</f>
        <v>4</v>
      </c>
      <c r="AH13" s="229">
        <f xml:space="preserve"> Kx!$BC13</f>
        <v>25</v>
      </c>
      <c r="AI13" s="474">
        <f xml:space="preserve"> $AI$5 - AH12</f>
        <v>3.4800000000000004</v>
      </c>
      <c r="AJ13" s="220">
        <f xml:space="preserve"> 1 + AJ$5</f>
        <v>1.0249999999999999</v>
      </c>
      <c r="AK13" s="525">
        <f xml:space="preserve"> IF(  AND( AI13=LEER, AJ13=LEER),  LEER,   ROUND( AI13 * AJ13, AK$3 )   )</f>
        <v>3.57</v>
      </c>
      <c r="AL13" s="526">
        <f xml:space="preserve"> Z12</f>
        <v>20.76</v>
      </c>
      <c r="AM13" s="477">
        <f xml:space="preserve"> $AJ$5</f>
        <v>2.5000000000000001E-2</v>
      </c>
      <c r="AN13" s="525">
        <f xml:space="preserve"> IF(  AND( AL13=LEER, AM13=LEER),  LEER,   ROUND( AL13 * AM13, AN$3 )   )</f>
        <v>0.52</v>
      </c>
      <c r="AO13" s="529">
        <f xml:space="preserve"> sx!$N13</f>
        <v>0.31999999999999995</v>
      </c>
      <c r="AP13" s="437">
        <f xml:space="preserve"> Z13</f>
        <v>27.57</v>
      </c>
      <c r="AQ13" s="525">
        <f xml:space="preserve"> IF(  AND( AO12=0, AP13=0),  LEER,   ROUND( AO12 * AP13, AQ$3 )   )</f>
        <v>2.76</v>
      </c>
      <c r="AR13" s="475">
        <f xml:space="preserve"> SUM(AK13, AN13, AQ13 )</f>
        <v>6.85</v>
      </c>
      <c r="AU13" s="340">
        <f xml:space="preserve"> E13</f>
        <v>4</v>
      </c>
      <c r="AV13" s="536">
        <f xml:space="preserve"> Kx!$BC13</f>
        <v>25</v>
      </c>
      <c r="AW13" s="541">
        <f xml:space="preserve"> ROUND( 1 / ( 1+ $AW$5 ), AW$3 )</f>
        <v>0.97560000000000002</v>
      </c>
      <c r="AX13" s="222">
        <f xml:space="preserve"> Z14</f>
        <v>31.5</v>
      </c>
      <c r="AY13" s="222">
        <f xml:space="preserve"> Z13</f>
        <v>27.57</v>
      </c>
      <c r="AZ13" s="525">
        <f xml:space="preserve"> ROUND( AW13 * AX13 - AY13, AZ$3 )</f>
        <v>3.16</v>
      </c>
      <c r="BA13" s="529">
        <f xml:space="preserve"> sx!$N13</f>
        <v>0.31999999999999995</v>
      </c>
      <c r="BB13" s="476">
        <f xml:space="preserve"> ROUND( 1 / ( 1+ $AW$5 ), BB$3 )</f>
        <v>0.97560000000000002</v>
      </c>
      <c r="BC13" s="222">
        <f xml:space="preserve"> AX13</f>
        <v>31.5</v>
      </c>
      <c r="BD13" s="525">
        <f xml:space="preserve"> ROUND( BA13 * BB13 * BC13, BD$3 )</f>
        <v>9.83</v>
      </c>
      <c r="BE13" s="475">
        <f xml:space="preserve"> SUM( AV13, AZ13 ) - SUM( BD13 )</f>
        <v>18.329999999999998</v>
      </c>
    </row>
    <row r="14" spans="3:57" x14ac:dyDescent="0.15">
      <c r="C14" s="492">
        <f xml:space="preserve"> Bx!Q14</f>
        <v>50</v>
      </c>
      <c r="D14" s="493">
        <f xml:space="preserve"> Bx!R14</f>
        <v>1</v>
      </c>
      <c r="E14" s="111">
        <f xml:space="preserve">  EING!B14</f>
        <v>5</v>
      </c>
      <c r="F14" s="140"/>
      <c r="G14" s="478">
        <f t="shared" si="0"/>
        <v>31.52</v>
      </c>
      <c r="H14" s="478">
        <f t="shared" si="0"/>
        <v>28.46</v>
      </c>
      <c r="I14" s="478">
        <f t="shared" si="0"/>
        <v>23.14</v>
      </c>
      <c r="J14" s="478">
        <f t="shared" si="0"/>
        <v>15.02</v>
      </c>
      <c r="K14" s="479">
        <f t="shared" si="0"/>
        <v>0</v>
      </c>
      <c r="S14" s="110">
        <f xml:space="preserve"> E14</f>
        <v>5</v>
      </c>
      <c r="T14" s="480">
        <f xml:space="preserve"> Z13</f>
        <v>27.57</v>
      </c>
      <c r="U14" s="231">
        <f xml:space="preserve"> Kx!$BC14</f>
        <v>50</v>
      </c>
      <c r="V14" s="509">
        <f xml:space="preserve"> $V$5 - U13</f>
        <v>-6.52</v>
      </c>
      <c r="W14" s="510">
        <f xml:space="preserve"> 1 + $W$5</f>
        <v>1.0249999999999999</v>
      </c>
      <c r="X14" s="224">
        <f xml:space="preserve"> Bx!C14</f>
        <v>50</v>
      </c>
      <c r="Y14" s="513">
        <f xml:space="preserve"> ROUND( X13 / X14, Y$3 )</f>
        <v>1.46</v>
      </c>
      <c r="Z14" s="505">
        <f xml:space="preserve"> ROUND( SUM( T14, V14 ) * SUM(W14) * SUM(Y14), Z$3 )</f>
        <v>31.5</v>
      </c>
      <c r="AA14" s="518">
        <f xml:space="preserve"> ROUND( AA$5 ^ S14, AA$3 )</f>
        <v>0.88380000000000003</v>
      </c>
      <c r="AB14" s="369">
        <f xml:space="preserve"> ROUND( X14 * AA14, AB$3 )</f>
        <v>44.19</v>
      </c>
      <c r="AC14" s="519">
        <f xml:space="preserve"> ROUND( AB13 / AB14, AC$3 )</f>
        <v>1.4964999999999999</v>
      </c>
      <c r="AD14" s="520">
        <f xml:space="preserve"> ROUND( SUM( T14, V14 ) * SUM(AC14), AD$3 )</f>
        <v>31.5</v>
      </c>
      <c r="AG14" s="348">
        <f xml:space="preserve"> S14</f>
        <v>5</v>
      </c>
      <c r="AH14" s="488">
        <f xml:space="preserve"> Kx!$BC14</f>
        <v>50</v>
      </c>
      <c r="AI14" s="482">
        <f xml:space="preserve"> $AI$5 - AH13</f>
        <v>-6.52</v>
      </c>
      <c r="AJ14" s="349">
        <f xml:space="preserve"> 1 + AJ$5</f>
        <v>1.0249999999999999</v>
      </c>
      <c r="AK14" s="528">
        <f xml:space="preserve"> IF(  AND( AI14=LEER, AJ14=LEER),  LEER,   ROUND( AI14 * AJ14, AK$3 )   )</f>
        <v>-6.68</v>
      </c>
      <c r="AL14" s="527">
        <f xml:space="preserve"> Z13</f>
        <v>27.57</v>
      </c>
      <c r="AM14" s="484">
        <f xml:space="preserve"> $AJ$5</f>
        <v>2.5000000000000001E-2</v>
      </c>
      <c r="AN14" s="528">
        <f xml:space="preserve"> IF(  AND( AL14=LEER, AM14=LEER),  LEER,   ROUND( AL14 * AM14, AN$3 )   )</f>
        <v>0.69</v>
      </c>
      <c r="AO14" s="530">
        <f xml:space="preserve"> sx!$N14</f>
        <v>1</v>
      </c>
      <c r="AP14" s="483">
        <f xml:space="preserve"> Z14</f>
        <v>31.5</v>
      </c>
      <c r="AQ14" s="528">
        <f xml:space="preserve"> IF(  AND( AO13=0, AP14=0),  LEER,   ROUND( AO13 * AP14, AQ$3 )   )</f>
        <v>10.08</v>
      </c>
      <c r="AR14" s="485">
        <f xml:space="preserve"> SUM(AK14, AN14, AQ14 )</f>
        <v>4.09</v>
      </c>
      <c r="AU14" s="348">
        <f xml:space="preserve"> E14</f>
        <v>5</v>
      </c>
      <c r="AV14" s="537">
        <f xml:space="preserve"> Kx!$BC14</f>
        <v>50</v>
      </c>
      <c r="AW14" s="542">
        <f xml:space="preserve"> ROUND( 1 / ( 1+ $AW$5 ), AW$3 )</f>
        <v>0.97560000000000002</v>
      </c>
      <c r="AX14" s="487">
        <f xml:space="preserve"> AC17</f>
        <v>0</v>
      </c>
      <c r="AY14" s="487">
        <f xml:space="preserve"> Z14</f>
        <v>31.5</v>
      </c>
      <c r="AZ14" s="528">
        <f xml:space="preserve"> ROUND( AW14 * AX14 - AY14, AZ$3 )</f>
        <v>-31.5</v>
      </c>
      <c r="BA14" s="530">
        <f xml:space="preserve"> sx!$N14</f>
        <v>1</v>
      </c>
      <c r="BB14" s="486">
        <f xml:space="preserve"> ROUND( 1 / ( 1+ $AW$5 ), BB$3 )</f>
        <v>0.97560000000000002</v>
      </c>
      <c r="BC14" s="487">
        <f xml:space="preserve"> AX14</f>
        <v>0</v>
      </c>
      <c r="BD14" s="528">
        <f xml:space="preserve"> ROUND( BA14 * BB14 * BC14, BD$3 )</f>
        <v>0</v>
      </c>
      <c r="BE14" s="485">
        <f xml:space="preserve"> SUM( AV14, AZ14 ) - SUM( BD14 )</f>
        <v>18.5</v>
      </c>
    </row>
    <row r="15" spans="3:57" x14ac:dyDescent="0.15">
      <c r="D15" s="316"/>
      <c r="S15" s="112"/>
      <c r="T15" s="113"/>
      <c r="U15" s="113"/>
      <c r="V15" s="113"/>
      <c r="W15" s="113"/>
      <c r="X15" s="113"/>
      <c r="Y15" s="113"/>
      <c r="Z15" s="113"/>
      <c r="AA15" s="522"/>
      <c r="AB15" s="522"/>
      <c r="AC15" s="522"/>
      <c r="AD15" s="353" t="s">
        <v>49</v>
      </c>
      <c r="AG15" s="112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353" t="s">
        <v>49</v>
      </c>
      <c r="AU15" s="112"/>
      <c r="AV15" s="113"/>
      <c r="AW15" s="113"/>
      <c r="AX15" s="113"/>
      <c r="AY15" s="113"/>
      <c r="AZ15" s="113"/>
      <c r="BA15" s="113"/>
      <c r="BB15" s="113"/>
      <c r="BC15" s="113"/>
      <c r="BD15" s="113"/>
      <c r="BE15" s="353" t="s">
        <v>49</v>
      </c>
    </row>
    <row r="16" spans="3:57" x14ac:dyDescent="0.15">
      <c r="D16" s="316"/>
      <c r="AA16" s="216"/>
      <c r="AB16" s="218"/>
      <c r="AC16" s="218"/>
      <c r="AD16" s="218"/>
      <c r="AF16" s="481"/>
    </row>
    <row r="17" spans="2:29" x14ac:dyDescent="0.15">
      <c r="AA17" s="216"/>
      <c r="AB17" s="216"/>
      <c r="AC17" s="216"/>
    </row>
    <row r="18" spans="2:29" x14ac:dyDescent="0.15">
      <c r="B18" s="151" t="str">
        <f xml:space="preserve"> EING!$B$3</f>
        <v>Rundungsstellen</v>
      </c>
      <c r="C18" s="136"/>
      <c r="D18" s="136"/>
      <c r="E18" s="136"/>
      <c r="F18" s="500">
        <f xml:space="preserve"> F6</f>
        <v>2</v>
      </c>
      <c r="G18" s="136"/>
      <c r="H18" s="136"/>
      <c r="I18" s="136"/>
      <c r="J18" s="136"/>
      <c r="K18" s="136"/>
      <c r="AA18" s="216"/>
      <c r="AB18" s="216"/>
      <c r="AC18" s="216"/>
    </row>
    <row r="19" spans="2:29" x14ac:dyDescent="0.15">
      <c r="B19" s="107"/>
      <c r="C19" s="107"/>
      <c r="D19" s="109"/>
      <c r="E19" s="494"/>
      <c r="F19" s="205" t="str">
        <f xml:space="preserve"> Bx!$AT$8</f>
        <v>P^Z_x</v>
      </c>
      <c r="G19" s="496">
        <f t="array" ref="G19:K19" xml:space="preserve"> TRANSPOSE( Bx!$AT$10:$AT$14 )</f>
        <v>19.68</v>
      </c>
      <c r="H19" s="496">
        <v>23.16</v>
      </c>
      <c r="I19" s="496">
        <v>29.45</v>
      </c>
      <c r="J19" s="496">
        <v>37.340000000000003</v>
      </c>
      <c r="K19" s="497">
        <v>50</v>
      </c>
      <c r="Q19" s="216"/>
      <c r="R19" s="216"/>
    </row>
    <row r="20" spans="2:29" x14ac:dyDescent="0.15">
      <c r="B20" s="488" t="str">
        <f xml:space="preserve"> Bx!CH7</f>
        <v>α^Z_x</v>
      </c>
      <c r="C20" s="488" t="str">
        <f xml:space="preserve"> Bx!Q8</f>
        <v>GA_x</v>
      </c>
      <c r="D20" s="489" t="str">
        <f xml:space="preserve"> Bx!R8</f>
        <v>a_x</v>
      </c>
      <c r="E20" s="495" t="s">
        <v>172</v>
      </c>
      <c r="F20" s="468" t="s">
        <v>18</v>
      </c>
      <c r="G20" s="110">
        <f t="array" ref="G20:K20" xml:space="preserve"> TRANSPOSE( E22:E26 )</f>
        <v>1</v>
      </c>
      <c r="H20" s="104">
        <v>2</v>
      </c>
      <c r="I20" s="104">
        <v>3</v>
      </c>
      <c r="J20" s="104">
        <v>4</v>
      </c>
      <c r="K20" s="111">
        <v>5</v>
      </c>
      <c r="Q20" s="464"/>
      <c r="R20" s="464"/>
    </row>
    <row r="21" spans="2:29" x14ac:dyDescent="0.15">
      <c r="B21" s="97"/>
      <c r="C21" s="97"/>
      <c r="D21" s="99"/>
      <c r="E21" s="130" t="s">
        <v>19</v>
      </c>
      <c r="F21" s="98"/>
      <c r="G21" s="96"/>
      <c r="H21" s="96"/>
      <c r="I21" s="96"/>
      <c r="J21" s="96"/>
      <c r="K21" s="99"/>
    </row>
    <row r="22" spans="2:29" x14ac:dyDescent="0.15">
      <c r="B22" s="490">
        <f xml:space="preserve"> Bx!CH10</f>
        <v>2</v>
      </c>
      <c r="C22" s="490">
        <f xml:space="preserve"> Bx!Q10</f>
        <v>70.040000000000006</v>
      </c>
      <c r="D22" s="491">
        <f xml:space="preserve"> Bx!R10</f>
        <v>3.79</v>
      </c>
      <c r="E22" s="99">
        <f xml:space="preserve"> EING!B10</f>
        <v>1</v>
      </c>
      <c r="F22" s="471"/>
      <c r="G22" s="442">
        <f t="shared" ref="G22:K26" si="1" xml:space="preserve"> IF(     G$20&gt;$E22,    LEER,    ROUND( $C22 - G$19 * $D22, $F$18 )     )</f>
        <v>-4.55</v>
      </c>
      <c r="H22" s="442" t="str">
        <f t="shared" si="1"/>
        <v>.</v>
      </c>
      <c r="I22" s="442" t="str">
        <f t="shared" si="1"/>
        <v>.</v>
      </c>
      <c r="J22" s="442" t="str">
        <f t="shared" si="1"/>
        <v>.</v>
      </c>
      <c r="K22" s="472" t="str">
        <f t="shared" si="1"/>
        <v>.</v>
      </c>
    </row>
    <row r="23" spans="2:29" x14ac:dyDescent="0.15">
      <c r="B23" s="490">
        <f xml:space="preserve"> Bx!CH11</f>
        <v>2</v>
      </c>
      <c r="C23" s="490">
        <f xml:space="preserve"> Bx!Q11</f>
        <v>67.63</v>
      </c>
      <c r="D23" s="491">
        <f xml:space="preserve"> Bx!R11</f>
        <v>3.14</v>
      </c>
      <c r="E23" s="99">
        <f xml:space="preserve"> EING!B11</f>
        <v>2</v>
      </c>
      <c r="F23" s="471"/>
      <c r="G23" s="442">
        <f t="shared" si="1"/>
        <v>5.83</v>
      </c>
      <c r="H23" s="442">
        <f t="shared" si="1"/>
        <v>-5.09</v>
      </c>
      <c r="I23" s="442" t="str">
        <f t="shared" si="1"/>
        <v>.</v>
      </c>
      <c r="J23" s="442" t="str">
        <f t="shared" si="1"/>
        <v>.</v>
      </c>
      <c r="K23" s="472" t="str">
        <f t="shared" si="1"/>
        <v>.</v>
      </c>
    </row>
    <row r="24" spans="2:29" x14ac:dyDescent="0.15">
      <c r="B24" s="490">
        <f xml:space="preserve"> Bx!CH12</f>
        <v>2</v>
      </c>
      <c r="C24" s="490">
        <f xml:space="preserve"> Bx!Q12</f>
        <v>66.349999999999994</v>
      </c>
      <c r="D24" s="491">
        <f xml:space="preserve"> Bx!R12</f>
        <v>2.4700000000000002</v>
      </c>
      <c r="E24" s="99">
        <f xml:space="preserve"> EING!B12</f>
        <v>3</v>
      </c>
      <c r="F24" s="471"/>
      <c r="G24" s="442">
        <f t="shared" si="1"/>
        <v>17.739999999999998</v>
      </c>
      <c r="H24" s="442">
        <f t="shared" si="1"/>
        <v>9.14</v>
      </c>
      <c r="I24" s="442">
        <f t="shared" si="1"/>
        <v>-6.39</v>
      </c>
      <c r="J24" s="442" t="str">
        <f t="shared" si="1"/>
        <v>.</v>
      </c>
      <c r="K24" s="472" t="str">
        <f t="shared" si="1"/>
        <v>.</v>
      </c>
    </row>
    <row r="25" spans="2:29" x14ac:dyDescent="0.15">
      <c r="B25" s="490">
        <f xml:space="preserve"> Bx!CH13</f>
        <v>1</v>
      </c>
      <c r="C25" s="490">
        <f xml:space="preserve"> Bx!Q13</f>
        <v>58.41</v>
      </c>
      <c r="D25" s="491">
        <f xml:space="preserve"> Bx!R13</f>
        <v>1.67</v>
      </c>
      <c r="E25" s="99">
        <f xml:space="preserve"> EING!B13</f>
        <v>4</v>
      </c>
      <c r="F25" s="471"/>
      <c r="G25" s="442">
        <f t="shared" si="1"/>
        <v>25.54</v>
      </c>
      <c r="H25" s="442">
        <f t="shared" si="1"/>
        <v>19.73</v>
      </c>
      <c r="I25" s="442">
        <f t="shared" si="1"/>
        <v>9.23</v>
      </c>
      <c r="J25" s="442">
        <f t="shared" si="1"/>
        <v>-3.95</v>
      </c>
      <c r="K25" s="472" t="str">
        <f t="shared" si="1"/>
        <v>.</v>
      </c>
    </row>
    <row r="26" spans="2:29" x14ac:dyDescent="0.15">
      <c r="B26" s="492">
        <f xml:space="preserve"> Bx!CH14</f>
        <v>0</v>
      </c>
      <c r="C26" s="492">
        <f xml:space="preserve"> Bx!Q14</f>
        <v>50</v>
      </c>
      <c r="D26" s="493">
        <f xml:space="preserve"> Bx!R14</f>
        <v>1</v>
      </c>
      <c r="E26" s="111">
        <f xml:space="preserve"> EING!B14</f>
        <v>5</v>
      </c>
      <c r="F26" s="140"/>
      <c r="G26" s="478">
        <f t="shared" si="1"/>
        <v>30.32</v>
      </c>
      <c r="H26" s="478">
        <f t="shared" si="1"/>
        <v>26.84</v>
      </c>
      <c r="I26" s="478">
        <f t="shared" si="1"/>
        <v>20.55</v>
      </c>
      <c r="J26" s="478">
        <f t="shared" si="1"/>
        <v>12.66</v>
      </c>
      <c r="K26" s="479">
        <f t="shared" si="1"/>
        <v>0</v>
      </c>
    </row>
    <row r="27" spans="2:29" x14ac:dyDescent="0.15">
      <c r="K27" s="216"/>
      <c r="L27" s="216"/>
      <c r="M27" s="216"/>
      <c r="N27" s="216"/>
      <c r="O27" s="216"/>
      <c r="P27" s="216"/>
    </row>
  </sheetData>
  <mergeCells count="35">
    <mergeCell ref="BA7:BA8"/>
    <mergeCell ref="BB7:BB8"/>
    <mergeCell ref="AV4:AV8"/>
    <mergeCell ref="AZ4:AZ8"/>
    <mergeCell ref="AW7:AW8"/>
    <mergeCell ref="AN4:AN8"/>
    <mergeCell ref="BC7:BC8"/>
    <mergeCell ref="BD4:BD8"/>
    <mergeCell ref="BE4:BE8"/>
    <mergeCell ref="AP7:AP8"/>
    <mergeCell ref="AQ4:AQ8"/>
    <mergeCell ref="AR4:AR8"/>
    <mergeCell ref="AU7:AU8"/>
    <mergeCell ref="AX7:AX8"/>
    <mergeCell ref="AY7:AY8"/>
    <mergeCell ref="AM7:AM8"/>
    <mergeCell ref="AO7:AO8"/>
    <mergeCell ref="Y7:Y8"/>
    <mergeCell ref="AJ7:AJ8"/>
    <mergeCell ref="AG7:AG8"/>
    <mergeCell ref="AC7:AC8"/>
    <mergeCell ref="AA7:AA8"/>
    <mergeCell ref="AB7:AB8"/>
    <mergeCell ref="AD7:AD8"/>
    <mergeCell ref="AK4:AK8"/>
    <mergeCell ref="S7:S8"/>
    <mergeCell ref="X7:X8"/>
    <mergeCell ref="W7:W8"/>
    <mergeCell ref="U7:U8"/>
    <mergeCell ref="AL7:AL8"/>
    <mergeCell ref="V7:V8"/>
    <mergeCell ref="T7:T8"/>
    <mergeCell ref="AI7:AI8"/>
    <mergeCell ref="AH7:AH8"/>
    <mergeCell ref="Z7:Z8"/>
  </mergeCells>
  <phoneticPr fontId="2" type="noConversion"/>
  <pageMargins left="0.78740157499999996" right="0.78740157499999996" top="0.984251969" bottom="0.984251969" header="0.4921259845" footer="0.4921259845"/>
  <pageSetup paperSize="9" orientation="portrait"/>
  <ignoredErrors>
    <ignoredError sqref="U10 X10 AK10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7"/>
  <sheetViews>
    <sheetView showGridLines="0" zoomScale="90" zoomScaleNormal="90" workbookViewId="0">
      <selection activeCell="E8" sqref="E8"/>
    </sheetView>
  </sheetViews>
  <sheetFormatPr baseColWidth="10" defaultRowHeight="13" x14ac:dyDescent="0.15"/>
  <cols>
    <col min="1" max="5" width="10.83203125" style="95"/>
    <col min="6" max="6" width="12.1640625" style="95" bestFit="1" customWidth="1"/>
    <col min="7" max="22" width="10.83203125" style="95"/>
    <col min="23" max="31" width="10.83203125" style="216"/>
    <col min="32" max="46" width="10.83203125" style="95"/>
    <col min="47" max="61" width="9" style="95" customWidth="1"/>
    <col min="62" max="16384" width="10.83203125" style="95"/>
  </cols>
  <sheetData>
    <row r="1" spans="1:61" s="216" customFormat="1" x14ac:dyDescent="0.15">
      <c r="O1" s="605" t="s">
        <v>291</v>
      </c>
      <c r="P1" s="150">
        <v>1</v>
      </c>
      <c r="X1" s="216" t="s">
        <v>290</v>
      </c>
      <c r="AK1" s="216" t="str">
        <f xml:space="preserve"> X1</f>
        <v>techn. AR-Modifikation</v>
      </c>
    </row>
    <row r="2" spans="1:61" s="216" customFormat="1" x14ac:dyDescent="0.15">
      <c r="W2" s="629">
        <v>0</v>
      </c>
      <c r="X2" s="150">
        <v>1</v>
      </c>
      <c r="AK2" s="150">
        <v>1</v>
      </c>
    </row>
    <row r="3" spans="1:61" x14ac:dyDescent="0.15">
      <c r="X3" s="150">
        <v>1</v>
      </c>
      <c r="AK3" s="150">
        <v>1</v>
      </c>
      <c r="AX3" s="61">
        <v>4</v>
      </c>
      <c r="BB3" s="666">
        <f xml:space="preserve"> AX3</f>
        <v>4</v>
      </c>
      <c r="BF3" s="666">
        <f xml:space="preserve"> BB3</f>
        <v>4</v>
      </c>
    </row>
    <row r="4" spans="1:61" s="216" customFormat="1" x14ac:dyDescent="0.15">
      <c r="A4" s="544">
        <v>4</v>
      </c>
    </row>
    <row r="5" spans="1:61" s="216" customFormat="1" x14ac:dyDescent="0.15">
      <c r="A5" s="602"/>
    </row>
    <row r="6" spans="1:61" x14ac:dyDescent="0.15">
      <c r="L6" s="96"/>
      <c r="M6" s="96"/>
      <c r="AD6" s="98"/>
      <c r="AE6" s="98"/>
    </row>
    <row r="7" spans="1:61" x14ac:dyDescent="0.15">
      <c r="D7" s="69"/>
      <c r="L7" s="96"/>
      <c r="M7" s="96"/>
      <c r="AD7" s="98"/>
      <c r="AE7" s="98"/>
      <c r="AP7" s="69"/>
    </row>
    <row r="8" spans="1:61" x14ac:dyDescent="0.15">
      <c r="E8" s="716"/>
      <c r="F8" s="1011" t="str">
        <f xml:space="preserve"> " Eintrittsalter / Alterskohorte bzgl. Eintrittsalter " &amp; EING!$B8</f>
        <v xml:space="preserve"> Eintrittsalter / Alterskohorte bzgl. Eintrittsalter x</v>
      </c>
      <c r="G8" s="1011"/>
      <c r="H8" s="1011"/>
      <c r="I8" s="1011"/>
      <c r="J8" s="1011"/>
      <c r="K8" s="894"/>
      <c r="L8" s="97"/>
      <c r="M8" s="96"/>
      <c r="N8" s="716"/>
      <c r="O8" s="1011" t="str">
        <f xml:space="preserve"> F8</f>
        <v xml:space="preserve"> Eintrittsalter / Alterskohorte bzgl. Eintrittsalter x</v>
      </c>
      <c r="P8" s="1011"/>
      <c r="Q8" s="1011"/>
      <c r="R8" s="1011"/>
      <c r="S8" s="1011"/>
      <c r="T8" s="894"/>
      <c r="W8" s="716"/>
      <c r="X8" s="1011" t="str">
        <f xml:space="preserve"> O8</f>
        <v xml:space="preserve"> Eintrittsalter / Alterskohorte bzgl. Eintrittsalter x</v>
      </c>
      <c r="Y8" s="1011"/>
      <c r="Z8" s="1011"/>
      <c r="AA8" s="1011"/>
      <c r="AB8" s="1011"/>
      <c r="AC8" s="894"/>
      <c r="AD8" s="98"/>
      <c r="AE8" s="98"/>
      <c r="AF8" s="96"/>
      <c r="AJ8" s="716">
        <f xml:space="preserve"> W8</f>
        <v>0</v>
      </c>
      <c r="AK8" s="1011" t="str">
        <f xml:space="preserve"> X8</f>
        <v xml:space="preserve"> Eintrittsalter / Alterskohorte bzgl. Eintrittsalter x</v>
      </c>
      <c r="AL8" s="1011"/>
      <c r="AM8" s="1011"/>
      <c r="AN8" s="1011"/>
      <c r="AO8" s="1011"/>
      <c r="AP8" s="894"/>
    </row>
    <row r="9" spans="1:61" x14ac:dyDescent="0.15">
      <c r="A9" s="96"/>
      <c r="E9" s="495" t="s">
        <v>294</v>
      </c>
      <c r="F9" s="104">
        <f t="array" ref="F9:J9" xml:space="preserve"> TRANSPOSE( EING!$B$10:$B$14 )</f>
        <v>1</v>
      </c>
      <c r="G9" s="104">
        <v>2</v>
      </c>
      <c r="H9" s="104">
        <v>3</v>
      </c>
      <c r="I9" s="104">
        <v>4</v>
      </c>
      <c r="J9" s="104">
        <v>5</v>
      </c>
      <c r="K9" s="552" t="str">
        <f xml:space="preserve"> EING!$B$15</f>
        <v>Summe</v>
      </c>
      <c r="L9" s="85"/>
      <c r="M9" s="96"/>
      <c r="N9" s="495" t="str">
        <f xml:space="preserve"> $E9</f>
        <v>err. Alter</v>
      </c>
      <c r="O9" s="104">
        <f xml:space="preserve"> F9</f>
        <v>1</v>
      </c>
      <c r="P9" s="104">
        <f xml:space="preserve"> G9</f>
        <v>2</v>
      </c>
      <c r="Q9" s="104">
        <f xml:space="preserve"> H9</f>
        <v>3</v>
      </c>
      <c r="R9" s="104">
        <f xml:space="preserve"> I9</f>
        <v>4</v>
      </c>
      <c r="S9" s="104">
        <f xml:space="preserve"> J9</f>
        <v>5</v>
      </c>
      <c r="T9" s="552" t="str">
        <f xml:space="preserve"> K9</f>
        <v>Summe</v>
      </c>
      <c r="W9" s="495" t="str">
        <f xml:space="preserve"> $E9</f>
        <v>err. Alter</v>
      </c>
      <c r="X9" s="104">
        <f xml:space="preserve"> O9</f>
        <v>1</v>
      </c>
      <c r="Y9" s="104">
        <f xml:space="preserve"> P9</f>
        <v>2</v>
      </c>
      <c r="Z9" s="104">
        <f xml:space="preserve"> Q9</f>
        <v>3</v>
      </c>
      <c r="AA9" s="104">
        <f xml:space="preserve"> R9</f>
        <v>4</v>
      </c>
      <c r="AB9" s="104">
        <f xml:space="preserve"> S9</f>
        <v>5</v>
      </c>
      <c r="AC9" s="552" t="str">
        <f xml:space="preserve"> T9</f>
        <v>Summe</v>
      </c>
      <c r="AD9" s="98"/>
      <c r="AE9" s="98"/>
      <c r="AF9" s="96"/>
      <c r="AJ9" s="495" t="str">
        <f xml:space="preserve"> W9</f>
        <v>err. Alter</v>
      </c>
      <c r="AK9" s="104">
        <f xml:space="preserve"> X9</f>
        <v>1</v>
      </c>
      <c r="AL9" s="104">
        <f xml:space="preserve"> Y9</f>
        <v>2</v>
      </c>
      <c r="AM9" s="104">
        <f xml:space="preserve"> Z9</f>
        <v>3</v>
      </c>
      <c r="AN9" s="104">
        <f xml:space="preserve"> AA9</f>
        <v>4</v>
      </c>
      <c r="AO9" s="104">
        <f xml:space="preserve"> AB9</f>
        <v>5</v>
      </c>
      <c r="AP9" s="552" t="str">
        <f xml:space="preserve"> AC9</f>
        <v>Summe</v>
      </c>
    </row>
    <row r="10" spans="1:61" x14ac:dyDescent="0.15">
      <c r="A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W10" s="96"/>
      <c r="X10" s="96"/>
      <c r="Y10" s="96"/>
      <c r="Z10" s="96"/>
      <c r="AA10" s="96"/>
      <c r="AB10" s="96"/>
      <c r="AC10" s="96"/>
      <c r="AD10" s="98"/>
      <c r="AE10" s="98"/>
      <c r="AF10" s="96"/>
      <c r="AJ10" s="96"/>
      <c r="AK10" s="96"/>
      <c r="AL10" s="96"/>
      <c r="AM10" s="96"/>
      <c r="AN10" s="96"/>
      <c r="AO10" s="96"/>
      <c r="AP10" s="96"/>
      <c r="AU10" s="82" t="str">
        <f xml:space="preserve"> EING!B7</f>
        <v>Alter</v>
      </c>
      <c r="AV10" s="557" t="s">
        <v>288</v>
      </c>
      <c r="AW10" s="558" t="s">
        <v>280</v>
      </c>
      <c r="AX10" s="624" t="str">
        <f xml:space="preserve"> AX35</f>
        <v>w^VP/alleVJ</v>
      </c>
      <c r="AY10" s="559" t="s">
        <v>287</v>
      </c>
      <c r="AZ10" s="559" t="s">
        <v>285</v>
      </c>
      <c r="BA10" s="714" t="s">
        <v>286</v>
      </c>
      <c r="BB10" s="625" t="str">
        <f xml:space="preserve"> BB35</f>
        <v>w^VP/ab1VJ</v>
      </c>
      <c r="BC10" s="560" t="str">
        <f xml:space="preserve"> AY10</f>
        <v>rm.Vererb.</v>
      </c>
      <c r="BD10" s="560" t="str">
        <f xml:space="preserve"> AZ10</f>
        <v>Verb'Erg.</v>
      </c>
      <c r="BE10" s="600" t="str">
        <f xml:space="preserve"> BA10</f>
        <v>Wirt.</v>
      </c>
      <c r="BF10" s="561" t="str">
        <f xml:space="preserve"> BF35</f>
        <v>w^posAR</v>
      </c>
      <c r="BG10" s="561" t="str">
        <f xml:space="preserve"> BC10</f>
        <v>rm.Vererb.</v>
      </c>
      <c r="BH10" s="561" t="str">
        <f xml:space="preserve"> BD10</f>
        <v>Verb'Erg.</v>
      </c>
      <c r="BI10" s="601" t="str">
        <f xml:space="preserve"> BE10</f>
        <v>Wirt.</v>
      </c>
    </row>
    <row r="11" spans="1:61" x14ac:dyDescent="0.15">
      <c r="A11" s="458"/>
      <c r="E11" s="82"/>
      <c r="F11" s="912" t="s">
        <v>284</v>
      </c>
      <c r="G11" s="1012"/>
      <c r="H11" s="1012"/>
      <c r="I11" s="1012"/>
      <c r="J11" s="1012"/>
      <c r="K11" s="913"/>
      <c r="L11" s="96"/>
      <c r="M11" s="96"/>
      <c r="N11" s="82"/>
      <c r="O11" s="912" t="str">
        <f xml:space="preserve"> F11 &amp; " mit mind. " &amp; P1 &amp; "-jähriger Vorvers'zeit"</f>
        <v>Stichtags-Bestand L^StTag_x,τ mit mind. 1-jähriger Vorvers'zeit</v>
      </c>
      <c r="P11" s="1012"/>
      <c r="Q11" s="1012"/>
      <c r="R11" s="1012"/>
      <c r="S11" s="1012"/>
      <c r="T11" s="913"/>
      <c r="W11" s="82"/>
      <c r="X11" s="912" t="s">
        <v>298</v>
      </c>
      <c r="Y11" s="1012"/>
      <c r="Z11" s="1012"/>
      <c r="AA11" s="1012"/>
      <c r="AB11" s="1012"/>
      <c r="AC11" s="913"/>
      <c r="AD11" s="98"/>
      <c r="AE11" s="98"/>
      <c r="AF11" s="98"/>
      <c r="AJ11" s="82"/>
      <c r="AK11" s="912" t="str">
        <f xml:space="preserve"> X11</f>
        <v>Stichtags-Alterungsrückstellung posAR^StTag_x+1,τ</v>
      </c>
      <c r="AL11" s="1012"/>
      <c r="AM11" s="1012"/>
      <c r="AN11" s="1012"/>
      <c r="AO11" s="1012"/>
      <c r="AP11" s="913"/>
      <c r="AU11" s="8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86"/>
    </row>
    <row r="12" spans="1:61" x14ac:dyDescent="0.15">
      <c r="A12" s="729">
        <f xml:space="preserve"> A13 - 1</f>
        <v>0</v>
      </c>
      <c r="E12" s="85">
        <f xml:space="preserve"> A12 + 1</f>
        <v>1</v>
      </c>
      <c r="F12" s="210">
        <f t="shared" ref="F12:J16" si="0" xml:space="preserve"> IF(  $A12&lt;F$9-1,  "",  INDEX( F$52:F$67, MATCH( $A$52 &amp; " # " &amp; $A12, $L$52:$L$67, 0 ) )   )</f>
        <v>1500</v>
      </c>
      <c r="G12" s="215" t="str">
        <f t="shared" si="0"/>
        <v/>
      </c>
      <c r="H12" s="215" t="str">
        <f t="shared" si="0"/>
        <v/>
      </c>
      <c r="I12" s="215" t="str">
        <f t="shared" si="0"/>
        <v/>
      </c>
      <c r="J12" s="630" t="str">
        <f t="shared" si="0"/>
        <v/>
      </c>
      <c r="K12" s="609">
        <f xml:space="preserve"> SUM( F12:J12 )</f>
        <v>1500</v>
      </c>
      <c r="L12" s="551"/>
      <c r="M12" s="551"/>
      <c r="N12" s="85">
        <f xml:space="preserve"> $E12</f>
        <v>1</v>
      </c>
      <c r="O12" s="210" t="str">
        <f t="shared" ref="O12:S16" si="1" xml:space="preserve"> IF(  $A12&lt;F$9-1,  "",  IF(  $A12&lt;F$9-1+$P$1,  LEER,  F12  ) )</f>
        <v>.</v>
      </c>
      <c r="P12" s="215" t="str">
        <f t="shared" si="1"/>
        <v/>
      </c>
      <c r="Q12" s="215" t="str">
        <f t="shared" si="1"/>
        <v/>
      </c>
      <c r="R12" s="215" t="str">
        <f t="shared" si="1"/>
        <v/>
      </c>
      <c r="S12" s="630" t="str">
        <f t="shared" si="1"/>
        <v/>
      </c>
      <c r="T12" s="609">
        <f xml:space="preserve"> SUM( O12:S12 )</f>
        <v>0</v>
      </c>
      <c r="W12" s="85">
        <f xml:space="preserve"> $E12</f>
        <v>1</v>
      </c>
      <c r="X12" s="210">
        <f t="shared" ref="X12:AB16" si="2" xml:space="preserve"> IF(  $A12&lt;F$9-1,  "",  ROUND( F12 * X56 * ( 1 + ( $A12 - F$9 + 1) * $X$2 ), $W$2 )  )</f>
        <v>14400</v>
      </c>
      <c r="Y12" s="215" t="str">
        <f t="shared" si="2"/>
        <v/>
      </c>
      <c r="Z12" s="215" t="str">
        <f t="shared" si="2"/>
        <v/>
      </c>
      <c r="AA12" s="215" t="str">
        <f t="shared" si="2"/>
        <v/>
      </c>
      <c r="AB12" s="630" t="str">
        <f t="shared" si="2"/>
        <v/>
      </c>
      <c r="AC12" s="609">
        <f xml:space="preserve"> SUM( X12:AB12 )</f>
        <v>14400</v>
      </c>
      <c r="AD12" s="95"/>
      <c r="AE12" s="554"/>
      <c r="AF12" s="98"/>
      <c r="AJ12" s="85">
        <f xml:space="preserve"> A12</f>
        <v>0</v>
      </c>
      <c r="AK12" s="210">
        <f t="shared" ref="AK12:AO16" si="3" xml:space="preserve"> IF(  $A12&lt;F$9-1,  "",  ROUND( F12 * AK56 * ( 1 + ( $A12 - F$9 + 1) * $AK$2 ), $W$2 )  )</f>
        <v>8745</v>
      </c>
      <c r="AL12" s="215" t="str">
        <f t="shared" si="3"/>
        <v/>
      </c>
      <c r="AM12" s="215" t="str">
        <f t="shared" si="3"/>
        <v/>
      </c>
      <c r="AN12" s="215" t="str">
        <f t="shared" si="3"/>
        <v/>
      </c>
      <c r="AO12" s="630" t="str">
        <f t="shared" si="3"/>
        <v/>
      </c>
      <c r="AP12" s="609">
        <f xml:space="preserve"> SUM( AK12:AO12 )</f>
        <v>8745</v>
      </c>
      <c r="AU12" s="603">
        <f xml:space="preserve"> EING!B10</f>
        <v>1</v>
      </c>
      <c r="AV12" s="572">
        <f xml:space="preserve"> AP19</f>
        <v>723</v>
      </c>
      <c r="AW12" s="573">
        <f xml:space="preserve"> AP12</f>
        <v>8745</v>
      </c>
      <c r="AX12" s="574">
        <f xml:space="preserve"> ROUNDDOWN( SUM(AX36) * AX$34, AX$3 )</f>
        <v>8.2699999999999996E-2</v>
      </c>
      <c r="AY12" s="575">
        <f xml:space="preserve"> ROUND( $AW12 * AX12, $W$2 )</f>
        <v>723</v>
      </c>
      <c r="AZ12" s="576">
        <f xml:space="preserve"> $AV12 - AY12</f>
        <v>0</v>
      </c>
      <c r="BA12" s="71" t="b">
        <f xml:space="preserve"> AZ12&gt;=0</f>
        <v>1</v>
      </c>
      <c r="BB12" s="577">
        <f xml:space="preserve"> ROUNDDOWN( SUM(BB36) * BB$34, BB$3 )</f>
        <v>8.2699999999999996E-2</v>
      </c>
      <c r="BC12" s="578">
        <f xml:space="preserve"> ROUND( $AW12 * BB12, $W$2 )</f>
        <v>723</v>
      </c>
      <c r="BD12" s="579">
        <f xml:space="preserve"> $AV12 - BC12</f>
        <v>0</v>
      </c>
      <c r="BE12" s="71" t="b">
        <f xml:space="preserve"> BD12&gt;=0</f>
        <v>1</v>
      </c>
      <c r="BF12" s="580">
        <f xml:space="preserve"> ROUNDDOWN( SUM(BF36) * BF$34, BF$3 )</f>
        <v>8.2400000000000001E-2</v>
      </c>
      <c r="BG12" s="581">
        <f xml:space="preserve"> ROUND( $AW12 * BF12, $W$2 )</f>
        <v>721</v>
      </c>
      <c r="BH12" s="582">
        <f xml:space="preserve"> $AV12 - BG12</f>
        <v>2</v>
      </c>
      <c r="BI12" s="628" t="b">
        <f xml:space="preserve"> BH12&gt;=0</f>
        <v>1</v>
      </c>
    </row>
    <row r="13" spans="1:61" x14ac:dyDescent="0.15">
      <c r="A13" s="717">
        <f xml:space="preserve"> F9</f>
        <v>1</v>
      </c>
      <c r="E13" s="85">
        <f xml:space="preserve"> A13 + 1</f>
        <v>2</v>
      </c>
      <c r="F13" s="210">
        <f t="shared" si="0"/>
        <v>1361</v>
      </c>
      <c r="G13" s="215">
        <f t="shared" si="0"/>
        <v>1000</v>
      </c>
      <c r="H13" s="215" t="str">
        <f t="shared" si="0"/>
        <v/>
      </c>
      <c r="I13" s="215" t="str">
        <f t="shared" si="0"/>
        <v/>
      </c>
      <c r="J13" s="630" t="str">
        <f t="shared" si="0"/>
        <v/>
      </c>
      <c r="K13" s="609">
        <f xml:space="preserve"> SUM( F13:J13 )</f>
        <v>2361</v>
      </c>
      <c r="L13" s="551"/>
      <c r="M13" s="551"/>
      <c r="N13" s="85">
        <f xml:space="preserve"> $E13</f>
        <v>2</v>
      </c>
      <c r="O13" s="210">
        <f t="shared" si="1"/>
        <v>1361</v>
      </c>
      <c r="P13" s="215" t="str">
        <f t="shared" si="1"/>
        <v>.</v>
      </c>
      <c r="Q13" s="215" t="str">
        <f t="shared" si="1"/>
        <v/>
      </c>
      <c r="R13" s="215" t="str">
        <f t="shared" si="1"/>
        <v/>
      </c>
      <c r="S13" s="630" t="str">
        <f t="shared" si="1"/>
        <v/>
      </c>
      <c r="T13" s="609">
        <f xml:space="preserve"> SUM( O13:S13 )</f>
        <v>1361</v>
      </c>
      <c r="W13" s="85">
        <f xml:space="preserve"> $E13</f>
        <v>2</v>
      </c>
      <c r="X13" s="210">
        <f t="shared" si="2"/>
        <v>56345</v>
      </c>
      <c r="Y13" s="215">
        <f t="shared" si="2"/>
        <v>13150</v>
      </c>
      <c r="Z13" s="215" t="str">
        <f t="shared" si="2"/>
        <v/>
      </c>
      <c r="AA13" s="215" t="str">
        <f t="shared" si="2"/>
        <v/>
      </c>
      <c r="AB13" s="630" t="str">
        <f t="shared" si="2"/>
        <v/>
      </c>
      <c r="AC13" s="609">
        <f xml:space="preserve"> SUM( X13:AB13 )</f>
        <v>69495</v>
      </c>
      <c r="AD13" s="95"/>
      <c r="AE13" s="554"/>
      <c r="AF13" s="98"/>
      <c r="AJ13" s="85">
        <f xml:space="preserve"> A13</f>
        <v>1</v>
      </c>
      <c r="AK13" s="210">
        <f t="shared" si="3"/>
        <v>48288</v>
      </c>
      <c r="AL13" s="215">
        <f t="shared" si="3"/>
        <v>9140</v>
      </c>
      <c r="AM13" s="215" t="str">
        <f t="shared" si="3"/>
        <v/>
      </c>
      <c r="AN13" s="215" t="str">
        <f t="shared" si="3"/>
        <v/>
      </c>
      <c r="AO13" s="630" t="str">
        <f t="shared" si="3"/>
        <v/>
      </c>
      <c r="AP13" s="609">
        <f xml:space="preserve"> SUM( AK13:AO13 )</f>
        <v>57428</v>
      </c>
      <c r="AU13" s="85">
        <f xml:space="preserve"> EING!B11</f>
        <v>2</v>
      </c>
      <c r="AV13" s="556">
        <f xml:space="preserve"> AP20</f>
        <v>4253</v>
      </c>
      <c r="AW13" s="562">
        <f xml:space="preserve"> AP13</f>
        <v>57428</v>
      </c>
      <c r="AX13" s="563">
        <f xml:space="preserve"> ROUNDDOWN( SUM(AX37) * AX$34, AX$3 )</f>
        <v>7.6200000000000004E-2</v>
      </c>
      <c r="AY13" s="564">
        <f xml:space="preserve"> ROUND( $AW13 * AX13, $W$2 )</f>
        <v>4376</v>
      </c>
      <c r="AZ13" s="565">
        <f xml:space="preserve"> $AV13 - AY13</f>
        <v>-123</v>
      </c>
      <c r="BA13" s="75" t="b">
        <f xml:space="preserve"> AZ13&gt;=0</f>
        <v>0</v>
      </c>
      <c r="BB13" s="566">
        <f xml:space="preserve"> ROUNDDOWN( SUM(BB37) * BB$34, BB$3 )</f>
        <v>7.2700000000000001E-2</v>
      </c>
      <c r="BC13" s="567">
        <f xml:space="preserve"> ROUND( $AW13 * BB13, $W$2 )</f>
        <v>4175</v>
      </c>
      <c r="BD13" s="568">
        <f xml:space="preserve"> $AV13 - BC13</f>
        <v>78</v>
      </c>
      <c r="BE13" s="75" t="b">
        <f xml:space="preserve"> BD13&gt;=0</f>
        <v>1</v>
      </c>
      <c r="BF13" s="569">
        <f xml:space="preserve"> ROUNDDOWN( SUM(BF37) * BF$34, BF$3 )</f>
        <v>7.4099999999999999E-2</v>
      </c>
      <c r="BG13" s="570">
        <f xml:space="preserve"> ROUND( $AW13 * BF13, $W$2 )</f>
        <v>4255</v>
      </c>
      <c r="BH13" s="571">
        <f xml:space="preserve"> $AV13 - BG13</f>
        <v>-2</v>
      </c>
      <c r="BI13" s="86" t="b">
        <f xml:space="preserve"> BH13&gt;=0</f>
        <v>0</v>
      </c>
    </row>
    <row r="14" spans="1:61" x14ac:dyDescent="0.15">
      <c r="A14" s="717">
        <f>G9</f>
        <v>2</v>
      </c>
      <c r="E14" s="85">
        <f xml:space="preserve"> A14 + 1</f>
        <v>3</v>
      </c>
      <c r="F14" s="210">
        <f t="shared" si="0"/>
        <v>1221</v>
      </c>
      <c r="G14" s="215">
        <f t="shared" si="0"/>
        <v>889</v>
      </c>
      <c r="H14" s="215">
        <f t="shared" si="0"/>
        <v>500</v>
      </c>
      <c r="I14" s="215" t="str">
        <f t="shared" si="0"/>
        <v/>
      </c>
      <c r="J14" s="630" t="str">
        <f t="shared" si="0"/>
        <v/>
      </c>
      <c r="K14" s="609">
        <f xml:space="preserve"> SUM( F14:J14 )</f>
        <v>2610</v>
      </c>
      <c r="L14" s="551"/>
      <c r="M14" s="551"/>
      <c r="N14" s="85">
        <f xml:space="preserve"> $E14</f>
        <v>3</v>
      </c>
      <c r="O14" s="210">
        <f t="shared" si="1"/>
        <v>1221</v>
      </c>
      <c r="P14" s="215">
        <f t="shared" si="1"/>
        <v>889</v>
      </c>
      <c r="Q14" s="215" t="str">
        <f t="shared" si="1"/>
        <v>.</v>
      </c>
      <c r="R14" s="215" t="str">
        <f t="shared" si="1"/>
        <v/>
      </c>
      <c r="S14" s="630" t="str">
        <f t="shared" si="1"/>
        <v/>
      </c>
      <c r="T14" s="609">
        <f xml:space="preserve"> SUM( O14:S14 )</f>
        <v>2110</v>
      </c>
      <c r="W14" s="85">
        <f xml:space="preserve"> $E14</f>
        <v>3</v>
      </c>
      <c r="X14" s="210">
        <f t="shared" si="2"/>
        <v>100916</v>
      </c>
      <c r="Y14" s="215">
        <f t="shared" si="2"/>
        <v>39898</v>
      </c>
      <c r="Z14" s="215">
        <f t="shared" si="2"/>
        <v>6775</v>
      </c>
      <c r="AA14" s="215" t="str">
        <f t="shared" si="2"/>
        <v/>
      </c>
      <c r="AB14" s="630" t="str">
        <f t="shared" si="2"/>
        <v/>
      </c>
      <c r="AC14" s="609">
        <f xml:space="preserve"> SUM( X14:AB14 )</f>
        <v>147589</v>
      </c>
      <c r="AD14" s="95"/>
      <c r="AE14" s="554"/>
      <c r="AF14" s="98"/>
      <c r="AJ14" s="85">
        <f xml:space="preserve"> A14</f>
        <v>2</v>
      </c>
      <c r="AK14" s="210">
        <f t="shared" si="3"/>
        <v>93553</v>
      </c>
      <c r="AL14" s="215">
        <f t="shared" si="3"/>
        <v>35080</v>
      </c>
      <c r="AM14" s="215">
        <f t="shared" si="3"/>
        <v>4615</v>
      </c>
      <c r="AN14" s="215" t="str">
        <f t="shared" si="3"/>
        <v/>
      </c>
      <c r="AO14" s="630" t="str">
        <f t="shared" si="3"/>
        <v/>
      </c>
      <c r="AP14" s="609">
        <f xml:space="preserve"> SUM( AK14:AO14 )</f>
        <v>133248</v>
      </c>
      <c r="AU14" s="85">
        <f xml:space="preserve"> EING!B12</f>
        <v>3</v>
      </c>
      <c r="AV14" s="556">
        <f xml:space="preserve"> AP21</f>
        <v>8822</v>
      </c>
      <c r="AW14" s="562">
        <f xml:space="preserve"> AP14</f>
        <v>133248</v>
      </c>
      <c r="AX14" s="563">
        <f xml:space="preserve"> ROUNDDOWN( SUM(AX38) * AX$34, AX$3 )</f>
        <v>6.9000000000000006E-2</v>
      </c>
      <c r="AY14" s="564">
        <f xml:space="preserve"> ROUND( $AW14 * AX14, $W$2 )</f>
        <v>9194</v>
      </c>
      <c r="AZ14" s="565">
        <f xml:space="preserve"> $AV14 - AY14</f>
        <v>-372</v>
      </c>
      <c r="BA14" s="75" t="b">
        <f xml:space="preserve"> AZ14&gt;=0</f>
        <v>0</v>
      </c>
      <c r="BB14" s="566">
        <f xml:space="preserve"> ROUNDDOWN( SUM(BB38) * BB$34, BB$3 )</f>
        <v>6.6799999999999998E-2</v>
      </c>
      <c r="BC14" s="567">
        <f xml:space="preserve"> ROUND( $AW14 * BB14, $W$2 )</f>
        <v>8901</v>
      </c>
      <c r="BD14" s="568">
        <f xml:space="preserve"> $AV14 - BC14</f>
        <v>-79</v>
      </c>
      <c r="BE14" s="75" t="b">
        <f xml:space="preserve"> BD14&gt;=0</f>
        <v>0</v>
      </c>
      <c r="BF14" s="569">
        <f xml:space="preserve"> ROUNDDOWN( SUM(BF38) * BF$34, BF$3 )</f>
        <v>6.6199999999999995E-2</v>
      </c>
      <c r="BG14" s="570">
        <f xml:space="preserve"> ROUND( $AW14 * BF14, $W$2 )</f>
        <v>8821</v>
      </c>
      <c r="BH14" s="571">
        <f xml:space="preserve"> $AV14 - BG14</f>
        <v>1</v>
      </c>
      <c r="BI14" s="86" t="b">
        <f xml:space="preserve"> BH14&gt;=0</f>
        <v>1</v>
      </c>
    </row>
    <row r="15" spans="1:61" x14ac:dyDescent="0.15">
      <c r="A15" s="717">
        <f>H9</f>
        <v>3</v>
      </c>
      <c r="E15" s="85">
        <f xml:space="preserve"> A15 + 1</f>
        <v>4</v>
      </c>
      <c r="F15" s="210">
        <f t="shared" si="0"/>
        <v>1106</v>
      </c>
      <c r="G15" s="215">
        <f t="shared" si="0"/>
        <v>799</v>
      </c>
      <c r="H15" s="215">
        <f t="shared" si="0"/>
        <v>446</v>
      </c>
      <c r="I15" s="215">
        <f t="shared" si="0"/>
        <v>50</v>
      </c>
      <c r="J15" s="630" t="str">
        <f t="shared" si="0"/>
        <v/>
      </c>
      <c r="K15" s="609">
        <f xml:space="preserve"> SUM( F15:J15 )</f>
        <v>2401</v>
      </c>
      <c r="L15" s="551"/>
      <c r="M15" s="551"/>
      <c r="N15" s="85">
        <f xml:space="preserve"> $E15</f>
        <v>4</v>
      </c>
      <c r="O15" s="210">
        <f t="shared" si="1"/>
        <v>1106</v>
      </c>
      <c r="P15" s="215">
        <f t="shared" si="1"/>
        <v>799</v>
      </c>
      <c r="Q15" s="215">
        <f t="shared" si="1"/>
        <v>446</v>
      </c>
      <c r="R15" s="215" t="str">
        <f t="shared" si="1"/>
        <v>.</v>
      </c>
      <c r="S15" s="630" t="str">
        <f t="shared" si="1"/>
        <v/>
      </c>
      <c r="T15" s="609">
        <f xml:space="preserve"> SUM( O15:S15 )</f>
        <v>2351</v>
      </c>
      <c r="W15" s="85">
        <f xml:space="preserve"> $E15</f>
        <v>4</v>
      </c>
      <c r="X15" s="210">
        <f t="shared" si="2"/>
        <v>139444</v>
      </c>
      <c r="Y15" s="215">
        <f t="shared" si="2"/>
        <v>68219</v>
      </c>
      <c r="Z15" s="215">
        <f t="shared" si="2"/>
        <v>20641</v>
      </c>
      <c r="AA15" s="215">
        <f t="shared" si="2"/>
        <v>751</v>
      </c>
      <c r="AB15" s="630" t="str">
        <f t="shared" si="2"/>
        <v/>
      </c>
      <c r="AC15" s="609">
        <f xml:space="preserve"> SUM( X15:AB15 )</f>
        <v>229055</v>
      </c>
      <c r="AD15" s="95"/>
      <c r="AE15" s="554"/>
      <c r="AF15" s="98"/>
      <c r="AJ15" s="85">
        <f xml:space="preserve"> A15</f>
        <v>3</v>
      </c>
      <c r="AK15" s="210">
        <f t="shared" si="3"/>
        <v>134136</v>
      </c>
      <c r="AL15" s="215">
        <f t="shared" si="3"/>
        <v>64335</v>
      </c>
      <c r="AM15" s="215">
        <f t="shared" si="3"/>
        <v>18331</v>
      </c>
      <c r="AN15" s="215">
        <f t="shared" si="3"/>
        <v>633</v>
      </c>
      <c r="AO15" s="630" t="str">
        <f t="shared" si="3"/>
        <v/>
      </c>
      <c r="AP15" s="609">
        <f xml:space="preserve"> SUM( AK15:AO15 )</f>
        <v>217435</v>
      </c>
      <c r="AU15" s="85">
        <f xml:space="preserve"> EING!B13</f>
        <v>4</v>
      </c>
      <c r="AV15" s="556">
        <f xml:space="preserve"> AP22</f>
        <v>6415</v>
      </c>
      <c r="AW15" s="562">
        <f xml:space="preserve"> AP15</f>
        <v>217435</v>
      </c>
      <c r="AX15" s="563">
        <f xml:space="preserve"> ROUNDDOWN( SUM(AX39) * AX$34, AX$3 )</f>
        <v>3.04E-2</v>
      </c>
      <c r="AY15" s="564">
        <f xml:space="preserve"> ROUND( $AW15 * AX15, $W$2 )</f>
        <v>6610</v>
      </c>
      <c r="AZ15" s="565">
        <f xml:space="preserve"> $AV15 - AY15</f>
        <v>-195</v>
      </c>
      <c r="BA15" s="75" t="b">
        <f xml:space="preserve"> AZ15&gt;=0</f>
        <v>0</v>
      </c>
      <c r="BB15" s="566">
        <f xml:space="preserve"> ROUNDDOWN( SUM(BB39) * BB$34, BB$3 )</f>
        <v>3.0200000000000001E-2</v>
      </c>
      <c r="BC15" s="567">
        <f xml:space="preserve"> ROUND( $AW15 * BB15, $W$2 )</f>
        <v>6567</v>
      </c>
      <c r="BD15" s="568">
        <f xml:space="preserve"> $AV15 - BC15</f>
        <v>-152</v>
      </c>
      <c r="BE15" s="75" t="b">
        <f xml:space="preserve"> BD15&gt;=0</f>
        <v>0</v>
      </c>
      <c r="BF15" s="569">
        <f xml:space="preserve"> ROUNDDOWN( SUM(BF39) * BF$34, BF$3 )</f>
        <v>2.9399999999999999E-2</v>
      </c>
      <c r="BG15" s="570">
        <f xml:space="preserve"> ROUND( $AW15 * BF15, $W$2 )</f>
        <v>6393</v>
      </c>
      <c r="BH15" s="571">
        <f xml:space="preserve"> $AV15 - BG15</f>
        <v>22</v>
      </c>
      <c r="BI15" s="86" t="b">
        <f xml:space="preserve"> BH15&gt;=0</f>
        <v>1</v>
      </c>
    </row>
    <row r="16" spans="1:61" x14ac:dyDescent="0.15">
      <c r="A16" s="717">
        <f>I9</f>
        <v>4</v>
      </c>
      <c r="E16" s="604">
        <f xml:space="preserve"> A16 + 1</f>
        <v>5</v>
      </c>
      <c r="F16" s="199">
        <f t="shared" si="0"/>
        <v>754</v>
      </c>
      <c r="G16" s="224">
        <f t="shared" si="0"/>
        <v>542</v>
      </c>
      <c r="H16" s="224">
        <f t="shared" si="0"/>
        <v>302</v>
      </c>
      <c r="I16" s="224">
        <f t="shared" si="0"/>
        <v>33</v>
      </c>
      <c r="J16" s="631">
        <f t="shared" si="0"/>
        <v>10</v>
      </c>
      <c r="K16" s="610">
        <f xml:space="preserve"> SUM( F16:J16 )</f>
        <v>1641</v>
      </c>
      <c r="L16" s="551"/>
      <c r="M16" s="551"/>
      <c r="N16" s="604">
        <f xml:space="preserve"> $E16</f>
        <v>5</v>
      </c>
      <c r="O16" s="199">
        <f t="shared" si="1"/>
        <v>754</v>
      </c>
      <c r="P16" s="224">
        <f t="shared" si="1"/>
        <v>542</v>
      </c>
      <c r="Q16" s="224">
        <f t="shared" si="1"/>
        <v>302</v>
      </c>
      <c r="R16" s="224">
        <f t="shared" si="1"/>
        <v>33</v>
      </c>
      <c r="S16" s="631" t="str">
        <f t="shared" si="1"/>
        <v>.</v>
      </c>
      <c r="T16" s="610">
        <f xml:space="preserve"> SUM( O16:S16 )</f>
        <v>1631</v>
      </c>
      <c r="W16" s="604">
        <f xml:space="preserve"> $E16</f>
        <v>5</v>
      </c>
      <c r="X16" s="199">
        <f t="shared" si="2"/>
        <v>0</v>
      </c>
      <c r="Y16" s="224">
        <f t="shared" si="2"/>
        <v>0</v>
      </c>
      <c r="Z16" s="224">
        <f t="shared" si="2"/>
        <v>0</v>
      </c>
      <c r="AA16" s="224">
        <f t="shared" si="2"/>
        <v>0</v>
      </c>
      <c r="AB16" s="631">
        <f t="shared" si="2"/>
        <v>0</v>
      </c>
      <c r="AC16" s="610">
        <f xml:space="preserve"> SUM( X16:AB16 )</f>
        <v>0</v>
      </c>
      <c r="AD16" s="95"/>
      <c r="AE16" s="554"/>
      <c r="AF16" s="96"/>
      <c r="AJ16" s="604">
        <f xml:space="preserve"> A16</f>
        <v>4</v>
      </c>
      <c r="AK16" s="199">
        <f t="shared" si="3"/>
        <v>0</v>
      </c>
      <c r="AL16" s="224">
        <f t="shared" si="3"/>
        <v>0</v>
      </c>
      <c r="AM16" s="224">
        <f t="shared" si="3"/>
        <v>0</v>
      </c>
      <c r="AN16" s="224">
        <f t="shared" si="3"/>
        <v>0</v>
      </c>
      <c r="AO16" s="631">
        <f t="shared" si="3"/>
        <v>0</v>
      </c>
      <c r="AP16" s="610">
        <f xml:space="preserve"> SUM( AK16:AO16 )</f>
        <v>0</v>
      </c>
      <c r="AU16" s="604">
        <f xml:space="preserve"> EING!B14</f>
        <v>5</v>
      </c>
      <c r="AV16" s="613">
        <f xml:space="preserve"> AP23</f>
        <v>0</v>
      </c>
      <c r="AW16" s="614">
        <f xml:space="preserve"> AP16</f>
        <v>0</v>
      </c>
      <c r="AX16" s="615">
        <f xml:space="preserve"> ROUNDDOWN( SUM(AX40) * AX$34, AX$3 )</f>
        <v>0</v>
      </c>
      <c r="AY16" s="616">
        <f xml:space="preserve"> ROUND( $AW16 * AX16, $W$2 )</f>
        <v>0</v>
      </c>
      <c r="AZ16" s="617">
        <f xml:space="preserve"> $AV16 - AY16</f>
        <v>0</v>
      </c>
      <c r="BA16" s="462" t="b">
        <f xml:space="preserve"> AZ16&gt;=0</f>
        <v>1</v>
      </c>
      <c r="BB16" s="618">
        <f xml:space="preserve"> ROUNDDOWN( SUM(BB40) * BB$34, BB$3 )</f>
        <v>0</v>
      </c>
      <c r="BC16" s="619">
        <f xml:space="preserve"> ROUND( $AW16 * BB16, $W$2 )</f>
        <v>0</v>
      </c>
      <c r="BD16" s="620">
        <f xml:space="preserve"> $AV16 - BC16</f>
        <v>0</v>
      </c>
      <c r="BE16" s="462" t="b">
        <f xml:space="preserve"> BD16&gt;=0</f>
        <v>1</v>
      </c>
      <c r="BF16" s="621">
        <f xml:space="preserve"> ROUNDDOWN( SUM(BF40) * BF$34, BF$3 )</f>
        <v>0</v>
      </c>
      <c r="BG16" s="622">
        <f xml:space="preserve"> ROUND( $AW16 * BF16, $W$2 )</f>
        <v>0</v>
      </c>
      <c r="BH16" s="623">
        <f xml:space="preserve"> $AV16 - BG16</f>
        <v>0</v>
      </c>
      <c r="BI16" s="463" t="b">
        <f xml:space="preserve"> BH16&gt;=0</f>
        <v>1</v>
      </c>
    </row>
    <row r="17" spans="1:61" x14ac:dyDescent="0.15">
      <c r="A17" s="69"/>
      <c r="B17" s="69"/>
      <c r="E17" s="458"/>
      <c r="F17" s="215"/>
      <c r="G17" s="215"/>
      <c r="H17" s="215"/>
      <c r="I17" s="215"/>
      <c r="J17" s="215"/>
      <c r="K17" s="719"/>
      <c r="L17" s="551"/>
      <c r="M17" s="551"/>
      <c r="N17" s="458"/>
      <c r="O17" s="215"/>
      <c r="P17" s="215"/>
      <c r="Q17" s="215"/>
      <c r="R17" s="215"/>
      <c r="S17" s="215"/>
      <c r="T17" s="719"/>
      <c r="W17" s="458"/>
      <c r="X17" s="215"/>
      <c r="Y17" s="215"/>
      <c r="Z17" s="215"/>
      <c r="AA17" s="215"/>
      <c r="AB17" s="215"/>
      <c r="AC17" s="719"/>
      <c r="AD17" s="95"/>
      <c r="AE17" s="554"/>
      <c r="AF17" s="96"/>
      <c r="AJ17" s="458"/>
      <c r="AK17" s="215"/>
      <c r="AL17" s="215"/>
      <c r="AM17" s="215"/>
      <c r="AN17" s="215"/>
      <c r="AO17" s="215"/>
      <c r="AP17" s="719"/>
      <c r="AU17" s="74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86"/>
    </row>
    <row r="18" spans="1:61" x14ac:dyDescent="0.15">
      <c r="A18" s="98"/>
      <c r="B18" s="69"/>
      <c r="E18" s="129"/>
      <c r="F18" s="912" t="s">
        <v>283</v>
      </c>
      <c r="G18" s="1012"/>
      <c r="H18" s="1012"/>
      <c r="I18" s="1012"/>
      <c r="J18" s="1012"/>
      <c r="K18" s="913"/>
      <c r="M18" s="96"/>
      <c r="N18" s="129"/>
      <c r="O18" s="912" t="str">
        <f xml:space="preserve"> F18</f>
        <v>davon Abgänge auf Grund Storno L^w_x,τ</v>
      </c>
      <c r="P18" s="1012"/>
      <c r="Q18" s="1012"/>
      <c r="R18" s="1012"/>
      <c r="S18" s="1012"/>
      <c r="T18" s="913"/>
      <c r="W18" s="129"/>
      <c r="X18" s="912" t="s">
        <v>299</v>
      </c>
      <c r="Y18" s="1012"/>
      <c r="Z18" s="1012"/>
      <c r="AA18" s="1012"/>
      <c r="AB18" s="1012"/>
      <c r="AC18" s="913"/>
      <c r="AE18" s="218"/>
      <c r="AF18" s="96"/>
      <c r="AJ18" s="129"/>
      <c r="AK18" s="912" t="str">
        <f xml:space="preserve"> X18</f>
        <v>davon Abgänge auf Grund Storno posAR^w_x,τ</v>
      </c>
      <c r="AL18" s="1012"/>
      <c r="AM18" s="1012"/>
      <c r="AN18" s="1012"/>
      <c r="AO18" s="1012"/>
      <c r="AP18" s="913"/>
      <c r="AU18" s="603" t="str">
        <f xml:space="preserve"> EING!B15</f>
        <v>Summe</v>
      </c>
      <c r="AV18" s="583">
        <f xml:space="preserve"> SUM( AV12:AV16 )</f>
        <v>20213</v>
      </c>
      <c r="AW18" s="584">
        <f xml:space="preserve"> SUM( AW12:AW16 )</f>
        <v>416856</v>
      </c>
      <c r="AX18" s="585"/>
      <c r="AY18" s="586">
        <f xml:space="preserve"> SUM( AY12:AY16 )</f>
        <v>20903</v>
      </c>
      <c r="AZ18" s="587">
        <f xml:space="preserve"> SUM( AZ12:AZ16 )</f>
        <v>-690</v>
      </c>
      <c r="BA18" s="71" t="b">
        <f xml:space="preserve"> AZ18&gt;=0</f>
        <v>0</v>
      </c>
      <c r="BB18" s="588"/>
      <c r="BC18" s="589">
        <f xml:space="preserve"> SUM( BC12:BC16 )</f>
        <v>20366</v>
      </c>
      <c r="BD18" s="590">
        <f xml:space="preserve"> SUM( BD12:BD16 )</f>
        <v>-153</v>
      </c>
      <c r="BE18" s="71" t="b">
        <f xml:space="preserve"> BD18&gt;=0</f>
        <v>0</v>
      </c>
      <c r="BF18" s="591"/>
      <c r="BG18" s="592">
        <f xml:space="preserve"> SUM( BG12:BG16 )</f>
        <v>20190</v>
      </c>
      <c r="BH18" s="593">
        <f xml:space="preserve"> SUM( BH12:BH16 )</f>
        <v>23</v>
      </c>
      <c r="BI18" s="628" t="b">
        <f xml:space="preserve"> BH18&gt;=0</f>
        <v>1</v>
      </c>
    </row>
    <row r="19" spans="1:61" x14ac:dyDescent="0.15">
      <c r="A19" s="718">
        <f xml:space="preserve"> A12</f>
        <v>0</v>
      </c>
      <c r="E19" s="523">
        <f xml:space="preserve"> A19 + 1</f>
        <v>1</v>
      </c>
      <c r="F19" s="633">
        <f t="shared" ref="F19:J23" si="4" xml:space="preserve"> IF(  $A19&lt;F$9-1,  "",  INDEX( F$52:F$67, MATCH( $A$74 &amp; " # " &amp; $A19, $L$52:$L$67, 0 ) )   )</f>
        <v>124</v>
      </c>
      <c r="G19" s="634" t="str">
        <f t="shared" si="4"/>
        <v/>
      </c>
      <c r="H19" s="634" t="str">
        <f t="shared" si="4"/>
        <v/>
      </c>
      <c r="I19" s="634" t="str">
        <f t="shared" si="4"/>
        <v/>
      </c>
      <c r="J19" s="635" t="str">
        <f t="shared" si="4"/>
        <v/>
      </c>
      <c r="K19" s="626">
        <f xml:space="preserve"> SUM( F19:J19 )</f>
        <v>124</v>
      </c>
      <c r="M19" s="96"/>
      <c r="N19" s="523">
        <f xml:space="preserve"> $E19</f>
        <v>1</v>
      </c>
      <c r="O19" s="633" t="str">
        <f t="shared" ref="O19:S23" si="5" xml:space="preserve"> IF(  $A19&lt;F$9-1,  "",  IF(  $A19&lt;F$9-1+$P$1,  LEER,  F19  ) )</f>
        <v>.</v>
      </c>
      <c r="P19" s="634" t="str">
        <f t="shared" si="5"/>
        <v/>
      </c>
      <c r="Q19" s="634" t="str">
        <f t="shared" si="5"/>
        <v/>
      </c>
      <c r="R19" s="634" t="str">
        <f t="shared" si="5"/>
        <v/>
      </c>
      <c r="S19" s="635" t="str">
        <f t="shared" si="5"/>
        <v/>
      </c>
      <c r="T19" s="626">
        <f xml:space="preserve"> SUM( O19:S19 )</f>
        <v>0</v>
      </c>
      <c r="W19" s="523">
        <f xml:space="preserve"> $E19</f>
        <v>1</v>
      </c>
      <c r="X19" s="633">
        <f t="shared" ref="X19:AB23" si="6" xml:space="preserve"> IF(  $A19&lt;F$9-1,  "",  ROUND( F19 * X56 * ( 1 + ( $A19 - F$9 + 1) * $X$3 ), $W$2 )  )</f>
        <v>1190</v>
      </c>
      <c r="Y19" s="634" t="str">
        <f t="shared" si="6"/>
        <v/>
      </c>
      <c r="Z19" s="634" t="str">
        <f t="shared" si="6"/>
        <v/>
      </c>
      <c r="AA19" s="634" t="str">
        <f t="shared" si="6"/>
        <v/>
      </c>
      <c r="AB19" s="635" t="str">
        <f t="shared" si="6"/>
        <v/>
      </c>
      <c r="AC19" s="626">
        <f xml:space="preserve"> SUM( X19:AB19 )</f>
        <v>1190</v>
      </c>
      <c r="AJ19" s="523">
        <f xml:space="preserve"> A19</f>
        <v>0</v>
      </c>
      <c r="AK19" s="633">
        <f t="shared" ref="AK19:AO23" si="7" xml:space="preserve"> IF(  $A19&lt;F$9-1,  "",  ROUND( F19 * AK56 * ( 1 + ( $A19 - F$9 + 1) * $AK$3 ), $W$2 )  )</f>
        <v>723</v>
      </c>
      <c r="AL19" s="634" t="str">
        <f t="shared" si="7"/>
        <v/>
      </c>
      <c r="AM19" s="634" t="str">
        <f t="shared" si="7"/>
        <v/>
      </c>
      <c r="AN19" s="634" t="str">
        <f t="shared" si="7"/>
        <v/>
      </c>
      <c r="AO19" s="635" t="str">
        <f t="shared" si="7"/>
        <v/>
      </c>
      <c r="AP19" s="626">
        <f xml:space="preserve"> SUM( AK19:AO19 )</f>
        <v>723</v>
      </c>
      <c r="AU19" s="110" t="str">
        <f xml:space="preserve"> "bzgl. " &amp; AV10</f>
        <v>bzgl. tats.Vererb.</v>
      </c>
      <c r="AV19" s="462"/>
      <c r="AW19" s="462"/>
      <c r="AX19" s="594"/>
      <c r="AY19" s="595"/>
      <c r="AZ19" s="726">
        <f xml:space="preserve"> AZ18 / $AV$18</f>
        <v>-3.4136446841141838E-2</v>
      </c>
      <c r="BA19" s="462" t="b">
        <f xml:space="preserve"> AZ19&gt;=0</f>
        <v>0</v>
      </c>
      <c r="BB19" s="596"/>
      <c r="BC19" s="597"/>
      <c r="BD19" s="727">
        <f xml:space="preserve"> BD18 / $AV$18</f>
        <v>-7.569386038687973E-3</v>
      </c>
      <c r="BE19" s="462" t="b">
        <f xml:space="preserve"> BD19&gt;=0</f>
        <v>0</v>
      </c>
      <c r="BF19" s="598"/>
      <c r="BG19" s="599"/>
      <c r="BH19" s="728">
        <f xml:space="preserve"> BH18 / $AV$18</f>
        <v>1.1378815613713946E-3</v>
      </c>
      <c r="BI19" s="463" t="b">
        <f xml:space="preserve"> BH19&gt;=0</f>
        <v>1</v>
      </c>
    </row>
    <row r="20" spans="1:61" x14ac:dyDescent="0.15">
      <c r="A20" s="718">
        <f xml:space="preserve"> A13</f>
        <v>1</v>
      </c>
      <c r="E20" s="118">
        <f xml:space="preserve"> A20 + 1</f>
        <v>2</v>
      </c>
      <c r="F20" s="210">
        <f t="shared" si="4"/>
        <v>99</v>
      </c>
      <c r="G20" s="215">
        <f t="shared" si="4"/>
        <v>81</v>
      </c>
      <c r="H20" s="215" t="str">
        <f t="shared" si="4"/>
        <v/>
      </c>
      <c r="I20" s="215" t="str">
        <f t="shared" si="4"/>
        <v/>
      </c>
      <c r="J20" s="630" t="str">
        <f t="shared" si="4"/>
        <v/>
      </c>
      <c r="K20" s="609">
        <f xml:space="preserve"> SUM( F20:J20 )</f>
        <v>180</v>
      </c>
      <c r="M20" s="96"/>
      <c r="N20" s="118">
        <f xml:space="preserve"> $E20</f>
        <v>2</v>
      </c>
      <c r="O20" s="210">
        <f t="shared" si="5"/>
        <v>99</v>
      </c>
      <c r="P20" s="215" t="str">
        <f t="shared" si="5"/>
        <v>.</v>
      </c>
      <c r="Q20" s="215" t="str">
        <f t="shared" si="5"/>
        <v/>
      </c>
      <c r="R20" s="215" t="str">
        <f t="shared" si="5"/>
        <v/>
      </c>
      <c r="S20" s="630" t="str">
        <f t="shared" si="5"/>
        <v/>
      </c>
      <c r="T20" s="609">
        <f xml:space="preserve"> SUM( O20:S20 )</f>
        <v>99</v>
      </c>
      <c r="W20" s="118">
        <f xml:space="preserve"> $E20</f>
        <v>2</v>
      </c>
      <c r="X20" s="210">
        <f t="shared" si="6"/>
        <v>4099</v>
      </c>
      <c r="Y20" s="215">
        <f t="shared" si="6"/>
        <v>1065</v>
      </c>
      <c r="Z20" s="215" t="str">
        <f t="shared" si="6"/>
        <v/>
      </c>
      <c r="AA20" s="215" t="str">
        <f t="shared" si="6"/>
        <v/>
      </c>
      <c r="AB20" s="630" t="str">
        <f t="shared" si="6"/>
        <v/>
      </c>
      <c r="AC20" s="609">
        <f xml:space="preserve"> SUM( X20:AB20 )</f>
        <v>5164</v>
      </c>
      <c r="AE20" s="554"/>
      <c r="AJ20" s="118">
        <f xml:space="preserve"> A20</f>
        <v>1</v>
      </c>
      <c r="AK20" s="210">
        <f t="shared" si="7"/>
        <v>3513</v>
      </c>
      <c r="AL20" s="215">
        <f t="shared" si="7"/>
        <v>740</v>
      </c>
      <c r="AM20" s="215" t="str">
        <f t="shared" si="7"/>
        <v/>
      </c>
      <c r="AN20" s="215" t="str">
        <f t="shared" si="7"/>
        <v/>
      </c>
      <c r="AO20" s="630" t="str">
        <f t="shared" si="7"/>
        <v/>
      </c>
      <c r="AP20" s="609">
        <f xml:space="preserve"> SUM( AK20:AO20 )</f>
        <v>4253</v>
      </c>
    </row>
    <row r="21" spans="1:61" x14ac:dyDescent="0.15">
      <c r="A21" s="718">
        <f xml:space="preserve"> A14</f>
        <v>2</v>
      </c>
      <c r="E21" s="118">
        <f xml:space="preserve"> A21 + 1</f>
        <v>3</v>
      </c>
      <c r="F21" s="210">
        <f t="shared" si="4"/>
        <v>78</v>
      </c>
      <c r="G21" s="215">
        <f t="shared" si="4"/>
        <v>63</v>
      </c>
      <c r="H21" s="215">
        <f t="shared" si="4"/>
        <v>39</v>
      </c>
      <c r="I21" s="215" t="str">
        <f t="shared" si="4"/>
        <v/>
      </c>
      <c r="J21" s="630" t="str">
        <f t="shared" si="4"/>
        <v/>
      </c>
      <c r="K21" s="609">
        <f xml:space="preserve"> SUM( F21:J21 )</f>
        <v>180</v>
      </c>
      <c r="M21" s="96"/>
      <c r="N21" s="118">
        <f xml:space="preserve"> $E21</f>
        <v>3</v>
      </c>
      <c r="O21" s="210">
        <f t="shared" si="5"/>
        <v>78</v>
      </c>
      <c r="P21" s="215">
        <f t="shared" si="5"/>
        <v>63</v>
      </c>
      <c r="Q21" s="215" t="str">
        <f t="shared" si="5"/>
        <v>.</v>
      </c>
      <c r="R21" s="215" t="str">
        <f t="shared" si="5"/>
        <v/>
      </c>
      <c r="S21" s="630" t="str">
        <f t="shared" si="5"/>
        <v/>
      </c>
      <c r="T21" s="609">
        <f xml:space="preserve"> SUM( O21:S21 )</f>
        <v>141</v>
      </c>
      <c r="W21" s="118">
        <f xml:space="preserve"> $E21</f>
        <v>3</v>
      </c>
      <c r="X21" s="210">
        <f t="shared" si="6"/>
        <v>6447</v>
      </c>
      <c r="Y21" s="215">
        <f t="shared" si="6"/>
        <v>2827</v>
      </c>
      <c r="Z21" s="215">
        <f t="shared" si="6"/>
        <v>528</v>
      </c>
      <c r="AA21" s="215" t="str">
        <f t="shared" si="6"/>
        <v/>
      </c>
      <c r="AB21" s="630" t="str">
        <f t="shared" si="6"/>
        <v/>
      </c>
      <c r="AC21" s="609">
        <f xml:space="preserve"> SUM( X21:AB21 )</f>
        <v>9802</v>
      </c>
      <c r="AE21" s="554"/>
      <c r="AJ21" s="118">
        <f xml:space="preserve"> A21</f>
        <v>2</v>
      </c>
      <c r="AK21" s="210">
        <f t="shared" si="7"/>
        <v>5976</v>
      </c>
      <c r="AL21" s="215">
        <f t="shared" si="7"/>
        <v>2486</v>
      </c>
      <c r="AM21" s="215">
        <f t="shared" si="7"/>
        <v>360</v>
      </c>
      <c r="AN21" s="215" t="str">
        <f t="shared" si="7"/>
        <v/>
      </c>
      <c r="AO21" s="630" t="str">
        <f t="shared" si="7"/>
        <v/>
      </c>
      <c r="AP21" s="609">
        <f xml:space="preserve"> SUM( AK21:AO21 )</f>
        <v>8822</v>
      </c>
    </row>
    <row r="22" spans="1:61" x14ac:dyDescent="0.15">
      <c r="A22" s="718">
        <f xml:space="preserve"> A15</f>
        <v>3</v>
      </c>
      <c r="E22" s="118">
        <f xml:space="preserve"> A22 + 1</f>
        <v>4</v>
      </c>
      <c r="F22" s="210">
        <f t="shared" si="4"/>
        <v>31</v>
      </c>
      <c r="G22" s="215">
        <f t="shared" si="4"/>
        <v>25</v>
      </c>
      <c r="H22" s="215">
        <f t="shared" si="4"/>
        <v>15</v>
      </c>
      <c r="I22" s="215">
        <f t="shared" si="4"/>
        <v>2</v>
      </c>
      <c r="J22" s="630" t="str">
        <f t="shared" si="4"/>
        <v/>
      </c>
      <c r="K22" s="609">
        <f xml:space="preserve"> SUM( F22:J22 )</f>
        <v>73</v>
      </c>
      <c r="M22" s="96"/>
      <c r="N22" s="118">
        <f xml:space="preserve"> $E22</f>
        <v>4</v>
      </c>
      <c r="O22" s="210">
        <f t="shared" si="5"/>
        <v>31</v>
      </c>
      <c r="P22" s="215">
        <f t="shared" si="5"/>
        <v>25</v>
      </c>
      <c r="Q22" s="215">
        <f t="shared" si="5"/>
        <v>15</v>
      </c>
      <c r="R22" s="215" t="str">
        <f t="shared" si="5"/>
        <v>.</v>
      </c>
      <c r="S22" s="630" t="str">
        <f t="shared" si="5"/>
        <v/>
      </c>
      <c r="T22" s="609">
        <f xml:space="preserve"> SUM( O22:S22 )</f>
        <v>71</v>
      </c>
      <c r="W22" s="118">
        <f xml:space="preserve"> $E22</f>
        <v>4</v>
      </c>
      <c r="X22" s="210">
        <f t="shared" si="6"/>
        <v>3908</v>
      </c>
      <c r="Y22" s="215">
        <f t="shared" si="6"/>
        <v>2135</v>
      </c>
      <c r="Z22" s="215">
        <f t="shared" si="6"/>
        <v>694</v>
      </c>
      <c r="AA22" s="215">
        <f t="shared" si="6"/>
        <v>30</v>
      </c>
      <c r="AB22" s="630" t="str">
        <f t="shared" si="6"/>
        <v/>
      </c>
      <c r="AC22" s="609">
        <f xml:space="preserve"> SUM( X22:AB22 )</f>
        <v>6767</v>
      </c>
      <c r="AE22" s="554"/>
      <c r="AJ22" s="118">
        <f xml:space="preserve"> A22</f>
        <v>3</v>
      </c>
      <c r="AK22" s="210">
        <f t="shared" si="7"/>
        <v>3760</v>
      </c>
      <c r="AL22" s="215">
        <f t="shared" si="7"/>
        <v>2013</v>
      </c>
      <c r="AM22" s="215">
        <f t="shared" si="7"/>
        <v>617</v>
      </c>
      <c r="AN22" s="215">
        <f t="shared" si="7"/>
        <v>25</v>
      </c>
      <c r="AO22" s="630" t="str">
        <f t="shared" si="7"/>
        <v/>
      </c>
      <c r="AP22" s="609">
        <f xml:space="preserve"> SUM( AK22:AO22 )</f>
        <v>6415</v>
      </c>
    </row>
    <row r="23" spans="1:61" x14ac:dyDescent="0.15">
      <c r="A23" s="718">
        <f xml:space="preserve"> A16</f>
        <v>4</v>
      </c>
      <c r="E23" s="126">
        <f xml:space="preserve"> A23 + 1</f>
        <v>5</v>
      </c>
      <c r="F23" s="199">
        <f t="shared" si="4"/>
        <v>0</v>
      </c>
      <c r="G23" s="224">
        <f t="shared" si="4"/>
        <v>0</v>
      </c>
      <c r="H23" s="224">
        <f t="shared" si="4"/>
        <v>0</v>
      </c>
      <c r="I23" s="224">
        <f t="shared" si="4"/>
        <v>0</v>
      </c>
      <c r="J23" s="631">
        <f t="shared" si="4"/>
        <v>0</v>
      </c>
      <c r="K23" s="610">
        <f xml:space="preserve"> SUM( F23:J23 )</f>
        <v>0</v>
      </c>
      <c r="M23" s="96"/>
      <c r="N23" s="126">
        <f xml:space="preserve"> $E23</f>
        <v>5</v>
      </c>
      <c r="O23" s="199">
        <f t="shared" si="5"/>
        <v>0</v>
      </c>
      <c r="P23" s="224">
        <f t="shared" si="5"/>
        <v>0</v>
      </c>
      <c r="Q23" s="224">
        <f t="shared" si="5"/>
        <v>0</v>
      </c>
      <c r="R23" s="224">
        <f t="shared" si="5"/>
        <v>0</v>
      </c>
      <c r="S23" s="631" t="str">
        <f t="shared" si="5"/>
        <v>.</v>
      </c>
      <c r="T23" s="610">
        <f xml:space="preserve"> SUM( O23:S23 )</f>
        <v>0</v>
      </c>
      <c r="W23" s="126">
        <f xml:space="preserve"> $E23</f>
        <v>5</v>
      </c>
      <c r="X23" s="199">
        <f t="shared" si="6"/>
        <v>0</v>
      </c>
      <c r="Y23" s="224">
        <f t="shared" si="6"/>
        <v>0</v>
      </c>
      <c r="Z23" s="224">
        <f t="shared" si="6"/>
        <v>0</v>
      </c>
      <c r="AA23" s="224">
        <f t="shared" si="6"/>
        <v>0</v>
      </c>
      <c r="AB23" s="631">
        <f t="shared" si="6"/>
        <v>0</v>
      </c>
      <c r="AC23" s="610">
        <f xml:space="preserve"> SUM( X23:AB23 )</f>
        <v>0</v>
      </c>
      <c r="AE23" s="554"/>
      <c r="AJ23" s="126">
        <f xml:space="preserve"> A23</f>
        <v>4</v>
      </c>
      <c r="AK23" s="199">
        <f t="shared" si="7"/>
        <v>0</v>
      </c>
      <c r="AL23" s="224">
        <f t="shared" si="7"/>
        <v>0</v>
      </c>
      <c r="AM23" s="224">
        <f t="shared" si="7"/>
        <v>0</v>
      </c>
      <c r="AN23" s="224">
        <f t="shared" si="7"/>
        <v>0</v>
      </c>
      <c r="AO23" s="631">
        <f t="shared" si="7"/>
        <v>0</v>
      </c>
      <c r="AP23" s="610">
        <f xml:space="preserve"> SUM( AK23:AO23 )</f>
        <v>0</v>
      </c>
    </row>
    <row r="24" spans="1:61" x14ac:dyDescent="0.15">
      <c r="A24" s="718"/>
      <c r="E24" s="98"/>
      <c r="F24" s="215"/>
      <c r="G24" s="215"/>
      <c r="H24" s="215"/>
      <c r="I24" s="215"/>
      <c r="J24" s="215"/>
      <c r="K24" s="723"/>
      <c r="M24" s="96"/>
      <c r="N24" s="98"/>
      <c r="O24" s="215"/>
      <c r="P24" s="215"/>
      <c r="Q24" s="215"/>
      <c r="R24" s="215"/>
      <c r="S24" s="215"/>
      <c r="T24" s="723"/>
      <c r="W24" s="98"/>
      <c r="X24" s="215"/>
      <c r="Y24" s="215"/>
      <c r="Z24" s="215"/>
      <c r="AA24" s="215"/>
      <c r="AB24" s="215"/>
      <c r="AC24" s="723"/>
      <c r="AE24" s="554"/>
      <c r="AJ24" s="458"/>
      <c r="AK24" s="215"/>
      <c r="AL24" s="215"/>
      <c r="AM24" s="215"/>
      <c r="AN24" s="215"/>
      <c r="AO24" s="215"/>
      <c r="AP24" s="719"/>
    </row>
    <row r="25" spans="1:61" x14ac:dyDescent="0.15">
      <c r="A25" s="96"/>
      <c r="E25" s="724"/>
      <c r="F25" s="1012" t="s">
        <v>295</v>
      </c>
      <c r="G25" s="1012"/>
      <c r="H25" s="1012"/>
      <c r="I25" s="1012"/>
      <c r="J25" s="913"/>
      <c r="K25" s="731" t="s">
        <v>281</v>
      </c>
      <c r="N25" s="724"/>
      <c r="O25" s="1012" t="str">
        <f xml:space="preserve"> $F25</f>
        <v>beobachtete Stornowahrscheinlichkeiten</v>
      </c>
      <c r="P25" s="1012"/>
      <c r="Q25" s="1012"/>
      <c r="R25" s="1012"/>
      <c r="S25" s="913"/>
      <c r="T25" s="730" t="s">
        <v>282</v>
      </c>
      <c r="W25" s="724"/>
      <c r="X25" s="1012" t="str">
        <f xml:space="preserve"> $F25</f>
        <v>beobachtete Stornowahrscheinlichkeiten</v>
      </c>
      <c r="Y25" s="1012"/>
      <c r="Z25" s="1012"/>
      <c r="AA25" s="1012"/>
      <c r="AB25" s="913"/>
      <c r="AC25" s="732" t="s">
        <v>296</v>
      </c>
      <c r="AE25" s="554"/>
      <c r="AJ25" s="724"/>
      <c r="AK25" s="1012" t="str">
        <f xml:space="preserve"> $F25</f>
        <v>beobachtete Stornowahrscheinlichkeiten</v>
      </c>
      <c r="AL25" s="1012"/>
      <c r="AM25" s="1012"/>
      <c r="AN25" s="1012"/>
      <c r="AO25" s="913"/>
      <c r="AP25" s="552" t="s">
        <v>297</v>
      </c>
    </row>
    <row r="26" spans="1:61" x14ac:dyDescent="0.15">
      <c r="A26" s="96"/>
      <c r="E26" s="720">
        <f xml:space="preserve"> E19</f>
        <v>1</v>
      </c>
      <c r="F26" s="664">
        <f t="shared" ref="F26:J30" si="8" xml:space="preserve"> IF( TRIM( F12) = "",  "",  IF(  SUM(F12)=0,  LEER,  ROUND( SUM(F19) / F12, $A$4 )  )  )</f>
        <v>8.2699999999999996E-2</v>
      </c>
      <c r="G26" s="645" t="str">
        <f t="shared" si="8"/>
        <v/>
      </c>
      <c r="H26" s="645" t="str">
        <f t="shared" si="8"/>
        <v/>
      </c>
      <c r="I26" s="645" t="str">
        <f t="shared" si="8"/>
        <v/>
      </c>
      <c r="J26" s="646" t="str">
        <f t="shared" si="8"/>
        <v/>
      </c>
      <c r="K26" s="636">
        <f xml:space="preserve"> IF(  K12=0,  LEER,  ROUND( K19 / K12, $A$4 )  )</f>
        <v>8.2699999999999996E-2</v>
      </c>
      <c r="N26" s="720">
        <f xml:space="preserve"> $E26</f>
        <v>1</v>
      </c>
      <c r="O26" s="664" t="str">
        <f t="shared" ref="O26:S30" si="9" xml:space="preserve"> IF( TRIM( O12) = "",  "",  IF(  SUM(O12)=0,  LEER,  ROUND( SUM(O19) / O12, $A$4 )  )  )</f>
        <v>.</v>
      </c>
      <c r="P26" s="645" t="str">
        <f t="shared" si="9"/>
        <v/>
      </c>
      <c r="Q26" s="645" t="str">
        <f t="shared" si="9"/>
        <v/>
      </c>
      <c r="R26" s="645" t="str">
        <f t="shared" si="9"/>
        <v/>
      </c>
      <c r="S26" s="646" t="str">
        <f t="shared" si="9"/>
        <v/>
      </c>
      <c r="T26" s="637" t="str">
        <f xml:space="preserve"> IF(  T12=0,  LEER,  ROUND( T19 / T12, $A$4 )  )</f>
        <v>.</v>
      </c>
      <c r="W26" s="720">
        <f xml:space="preserve"> $E26</f>
        <v>1</v>
      </c>
      <c r="X26" s="664">
        <f t="shared" ref="X26:AB30" si="10" xml:space="preserve"> IF( TRIM( X12) = "",  "",  IF(  SUM(X12)=0,  LEER,  ROUND( SUM(X19) / X12, $A$4 )  )  )</f>
        <v>8.2600000000000007E-2</v>
      </c>
      <c r="Y26" s="645" t="str">
        <f t="shared" si="10"/>
        <v/>
      </c>
      <c r="Z26" s="645" t="str">
        <f t="shared" si="10"/>
        <v/>
      </c>
      <c r="AA26" s="645" t="str">
        <f t="shared" si="10"/>
        <v/>
      </c>
      <c r="AB26" s="646" t="str">
        <f t="shared" si="10"/>
        <v/>
      </c>
      <c r="AC26" s="638">
        <f xml:space="preserve"> IF(  AC12=0,  LEER,  ROUND( AC19 / AC12, $A$4 )  )</f>
        <v>8.2600000000000007E-2</v>
      </c>
      <c r="AE26" s="554"/>
      <c r="AJ26" s="720">
        <f xml:space="preserve"> $E26</f>
        <v>1</v>
      </c>
      <c r="AK26" s="664">
        <f t="shared" ref="AK26:AO30" si="11" xml:space="preserve"> IF( TRIM( AK12) = "",  "",  IF(  SUM(AK12)=0,  LEER,  ROUND( SUM(AK19) / AK12, $A$4 )  )  )</f>
        <v>8.2699999999999996E-2</v>
      </c>
      <c r="AL26" s="645" t="str">
        <f t="shared" si="11"/>
        <v/>
      </c>
      <c r="AM26" s="645" t="str">
        <f t="shared" si="11"/>
        <v/>
      </c>
      <c r="AN26" s="645" t="str">
        <f t="shared" si="11"/>
        <v/>
      </c>
      <c r="AO26" s="646" t="str">
        <f t="shared" si="11"/>
        <v/>
      </c>
      <c r="AP26" s="638">
        <f xml:space="preserve"> IF(  AP12=0,  LEER,  ROUND( AP19 / AP12, $A$4 )  )</f>
        <v>8.2699999999999996E-2</v>
      </c>
    </row>
    <row r="27" spans="1:61" x14ac:dyDescent="0.15">
      <c r="A27" s="96"/>
      <c r="E27" s="721">
        <f xml:space="preserve"> E20</f>
        <v>2</v>
      </c>
      <c r="F27" s="515">
        <f t="shared" si="8"/>
        <v>7.2700000000000001E-2</v>
      </c>
      <c r="G27" s="499">
        <f t="shared" si="8"/>
        <v>8.1000000000000003E-2</v>
      </c>
      <c r="H27" s="499" t="str">
        <f t="shared" si="8"/>
        <v/>
      </c>
      <c r="I27" s="499" t="str">
        <f t="shared" si="8"/>
        <v/>
      </c>
      <c r="J27" s="647" t="str">
        <f t="shared" si="8"/>
        <v/>
      </c>
      <c r="K27" s="639">
        <f xml:space="preserve"> IF(  K13=0,  LEER,  ROUND( K20 / K13, $A$4 )  )</f>
        <v>7.6200000000000004E-2</v>
      </c>
      <c r="N27" s="721">
        <f xml:space="preserve"> $E27</f>
        <v>2</v>
      </c>
      <c r="O27" s="515">
        <f t="shared" si="9"/>
        <v>7.2700000000000001E-2</v>
      </c>
      <c r="P27" s="499" t="str">
        <f t="shared" si="9"/>
        <v>.</v>
      </c>
      <c r="Q27" s="499" t="str">
        <f t="shared" si="9"/>
        <v/>
      </c>
      <c r="R27" s="499" t="str">
        <f t="shared" si="9"/>
        <v/>
      </c>
      <c r="S27" s="647" t="str">
        <f t="shared" si="9"/>
        <v/>
      </c>
      <c r="T27" s="640">
        <f xml:space="preserve"> IF(  T13=0,  LEER,  ROUND( T20 / T13, $A$4 )  )</f>
        <v>7.2700000000000001E-2</v>
      </c>
      <c r="W27" s="721">
        <f xml:space="preserve"> $E27</f>
        <v>2</v>
      </c>
      <c r="X27" s="515">
        <f t="shared" si="10"/>
        <v>7.2700000000000001E-2</v>
      </c>
      <c r="Y27" s="499">
        <f t="shared" si="10"/>
        <v>8.1000000000000003E-2</v>
      </c>
      <c r="Z27" s="499" t="str">
        <f t="shared" si="10"/>
        <v/>
      </c>
      <c r="AA27" s="499" t="str">
        <f t="shared" si="10"/>
        <v/>
      </c>
      <c r="AB27" s="647" t="str">
        <f t="shared" si="10"/>
        <v/>
      </c>
      <c r="AC27" s="641">
        <f xml:space="preserve"> IF(  AC13=0,  LEER,  ROUND( AC20 / AC13, $A$4 )  )</f>
        <v>7.4300000000000005E-2</v>
      </c>
      <c r="AE27" s="554"/>
      <c r="AJ27" s="721">
        <f xml:space="preserve"> $E27</f>
        <v>2</v>
      </c>
      <c r="AK27" s="515">
        <f t="shared" si="11"/>
        <v>7.2800000000000004E-2</v>
      </c>
      <c r="AL27" s="499">
        <f t="shared" si="11"/>
        <v>8.1000000000000003E-2</v>
      </c>
      <c r="AM27" s="499" t="str">
        <f t="shared" si="11"/>
        <v/>
      </c>
      <c r="AN27" s="499" t="str">
        <f t="shared" si="11"/>
        <v/>
      </c>
      <c r="AO27" s="647" t="str">
        <f t="shared" si="11"/>
        <v/>
      </c>
      <c r="AP27" s="641">
        <f xml:space="preserve"> IF(  AP13=0,  LEER,  ROUND( AP20 / AP13, $A$4 )  )</f>
        <v>7.4099999999999999E-2</v>
      </c>
    </row>
    <row r="28" spans="1:61" x14ac:dyDescent="0.15">
      <c r="A28" s="96"/>
      <c r="E28" s="721">
        <f xml:space="preserve"> E21</f>
        <v>3</v>
      </c>
      <c r="F28" s="515">
        <f t="shared" si="8"/>
        <v>6.3899999999999998E-2</v>
      </c>
      <c r="G28" s="499">
        <f t="shared" si="8"/>
        <v>7.0900000000000005E-2</v>
      </c>
      <c r="H28" s="499">
        <f t="shared" si="8"/>
        <v>7.8E-2</v>
      </c>
      <c r="I28" s="499" t="str">
        <f t="shared" si="8"/>
        <v/>
      </c>
      <c r="J28" s="647" t="str">
        <f t="shared" si="8"/>
        <v/>
      </c>
      <c r="K28" s="639">
        <f xml:space="preserve"> IF(  K14=0,  LEER,  ROUND( K21 / K14, $A$4 )  )</f>
        <v>6.9000000000000006E-2</v>
      </c>
      <c r="N28" s="721">
        <f xml:space="preserve"> $E28</f>
        <v>3</v>
      </c>
      <c r="O28" s="515">
        <f t="shared" si="9"/>
        <v>6.3899999999999998E-2</v>
      </c>
      <c r="P28" s="499">
        <f t="shared" si="9"/>
        <v>7.0900000000000005E-2</v>
      </c>
      <c r="Q28" s="499" t="str">
        <f t="shared" si="9"/>
        <v>.</v>
      </c>
      <c r="R28" s="499" t="str">
        <f t="shared" si="9"/>
        <v/>
      </c>
      <c r="S28" s="647" t="str">
        <f t="shared" si="9"/>
        <v/>
      </c>
      <c r="T28" s="640">
        <f xml:space="preserve"> IF(  T14=0,  LEER,  ROUND( T21 / T14, $A$4 )  )</f>
        <v>6.6799999999999998E-2</v>
      </c>
      <c r="W28" s="721">
        <f xml:space="preserve"> $E28</f>
        <v>3</v>
      </c>
      <c r="X28" s="515">
        <f t="shared" si="10"/>
        <v>6.3899999999999998E-2</v>
      </c>
      <c r="Y28" s="499">
        <f t="shared" si="10"/>
        <v>7.0900000000000005E-2</v>
      </c>
      <c r="Z28" s="499">
        <f t="shared" si="10"/>
        <v>7.7899999999999997E-2</v>
      </c>
      <c r="AA28" s="499" t="str">
        <f t="shared" si="10"/>
        <v/>
      </c>
      <c r="AB28" s="647" t="str">
        <f t="shared" si="10"/>
        <v/>
      </c>
      <c r="AC28" s="641">
        <f xml:space="preserve"> IF(  AC14=0,  LEER,  ROUND( AC21 / AC14, $A$4 )  )</f>
        <v>6.6400000000000001E-2</v>
      </c>
      <c r="AE28" s="554"/>
      <c r="AF28" s="216"/>
      <c r="AJ28" s="721">
        <f xml:space="preserve"> $E28</f>
        <v>3</v>
      </c>
      <c r="AK28" s="515">
        <f t="shared" si="11"/>
        <v>6.3899999999999998E-2</v>
      </c>
      <c r="AL28" s="499">
        <f t="shared" si="11"/>
        <v>7.0900000000000005E-2</v>
      </c>
      <c r="AM28" s="499">
        <f t="shared" si="11"/>
        <v>7.8E-2</v>
      </c>
      <c r="AN28" s="499" t="str">
        <f t="shared" si="11"/>
        <v/>
      </c>
      <c r="AO28" s="647" t="str">
        <f t="shared" si="11"/>
        <v/>
      </c>
      <c r="AP28" s="641">
        <f xml:space="preserve"> IF(  AP14=0,  LEER,  ROUND( AP21 / AP14, $A$4 )  )</f>
        <v>6.6199999999999995E-2</v>
      </c>
    </row>
    <row r="29" spans="1:61" x14ac:dyDescent="0.15">
      <c r="A29" s="96"/>
      <c r="E29" s="721">
        <f xml:space="preserve"> E22</f>
        <v>4</v>
      </c>
      <c r="F29" s="515">
        <f t="shared" si="8"/>
        <v>2.8000000000000001E-2</v>
      </c>
      <c r="G29" s="499">
        <f t="shared" si="8"/>
        <v>3.1300000000000001E-2</v>
      </c>
      <c r="H29" s="499">
        <f t="shared" si="8"/>
        <v>3.3599999999999998E-2</v>
      </c>
      <c r="I29" s="499">
        <f t="shared" si="8"/>
        <v>0.04</v>
      </c>
      <c r="J29" s="647" t="str">
        <f t="shared" si="8"/>
        <v/>
      </c>
      <c r="K29" s="639">
        <f xml:space="preserve"> IF(  K15=0,  LEER,  ROUND( K22 / K15, $A$4 )  )</f>
        <v>3.04E-2</v>
      </c>
      <c r="N29" s="721">
        <f xml:space="preserve"> $E29</f>
        <v>4</v>
      </c>
      <c r="O29" s="515">
        <f t="shared" si="9"/>
        <v>2.8000000000000001E-2</v>
      </c>
      <c r="P29" s="499">
        <f t="shared" si="9"/>
        <v>3.1300000000000001E-2</v>
      </c>
      <c r="Q29" s="499">
        <f t="shared" si="9"/>
        <v>3.3599999999999998E-2</v>
      </c>
      <c r="R29" s="499" t="str">
        <f t="shared" si="9"/>
        <v>.</v>
      </c>
      <c r="S29" s="647" t="str">
        <f t="shared" si="9"/>
        <v/>
      </c>
      <c r="T29" s="640">
        <f xml:space="preserve"> IF(  T15=0,  LEER,  ROUND( T22 / T15, $A$4 )  )</f>
        <v>3.0200000000000001E-2</v>
      </c>
      <c r="W29" s="721">
        <f xml:space="preserve"> $E29</f>
        <v>4</v>
      </c>
      <c r="X29" s="515">
        <f t="shared" si="10"/>
        <v>2.8000000000000001E-2</v>
      </c>
      <c r="Y29" s="499">
        <f t="shared" si="10"/>
        <v>3.1300000000000001E-2</v>
      </c>
      <c r="Z29" s="499">
        <f t="shared" si="10"/>
        <v>3.3599999999999998E-2</v>
      </c>
      <c r="AA29" s="499">
        <f t="shared" si="10"/>
        <v>3.9899999999999998E-2</v>
      </c>
      <c r="AB29" s="647" t="str">
        <f t="shared" si="10"/>
        <v/>
      </c>
      <c r="AC29" s="641">
        <f xml:space="preserve"> IF(  AC15=0,  LEER,  ROUND( AC22 / AC15, $A$4 )  )</f>
        <v>2.9499999999999998E-2</v>
      </c>
      <c r="AE29" s="554"/>
      <c r="AF29" s="98"/>
      <c r="AJ29" s="721">
        <f xml:space="preserve"> $E29</f>
        <v>4</v>
      </c>
      <c r="AK29" s="515">
        <f t="shared" si="11"/>
        <v>2.8000000000000001E-2</v>
      </c>
      <c r="AL29" s="499">
        <f t="shared" si="11"/>
        <v>3.1300000000000001E-2</v>
      </c>
      <c r="AM29" s="499">
        <f t="shared" si="11"/>
        <v>3.3700000000000001E-2</v>
      </c>
      <c r="AN29" s="499">
        <f t="shared" si="11"/>
        <v>3.95E-2</v>
      </c>
      <c r="AO29" s="647" t="str">
        <f t="shared" si="11"/>
        <v/>
      </c>
      <c r="AP29" s="641">
        <f xml:space="preserve"> IF(  AP15=0,  LEER,  ROUND( AP22 / AP15, $A$4 )  )</f>
        <v>2.9499999999999998E-2</v>
      </c>
    </row>
    <row r="30" spans="1:61" x14ac:dyDescent="0.15">
      <c r="A30" s="96"/>
      <c r="E30" s="722">
        <f xml:space="preserve"> E23</f>
        <v>5</v>
      </c>
      <c r="F30" s="665">
        <f t="shared" si="8"/>
        <v>0</v>
      </c>
      <c r="G30" s="648">
        <f t="shared" si="8"/>
        <v>0</v>
      </c>
      <c r="H30" s="648">
        <f t="shared" si="8"/>
        <v>0</v>
      </c>
      <c r="I30" s="648">
        <f t="shared" si="8"/>
        <v>0</v>
      </c>
      <c r="J30" s="649">
        <f t="shared" si="8"/>
        <v>0</v>
      </c>
      <c r="K30" s="642">
        <f xml:space="preserve"> IF(  K16=0,  LEER,  ROUND( K23 / K16, $A$4 )  )</f>
        <v>0</v>
      </c>
      <c r="N30" s="722">
        <f xml:space="preserve"> $E30</f>
        <v>5</v>
      </c>
      <c r="O30" s="665">
        <f t="shared" si="9"/>
        <v>0</v>
      </c>
      <c r="P30" s="648">
        <f t="shared" si="9"/>
        <v>0</v>
      </c>
      <c r="Q30" s="648">
        <f t="shared" si="9"/>
        <v>0</v>
      </c>
      <c r="R30" s="648">
        <f t="shared" si="9"/>
        <v>0</v>
      </c>
      <c r="S30" s="649" t="str">
        <f t="shared" si="9"/>
        <v>.</v>
      </c>
      <c r="T30" s="643">
        <f xml:space="preserve"> IF(  T16=0,  LEER,  ROUND( T23 / T16, $A$4 )  )</f>
        <v>0</v>
      </c>
      <c r="W30" s="722">
        <f xml:space="preserve"> $E30</f>
        <v>5</v>
      </c>
      <c r="X30" s="665" t="str">
        <f t="shared" si="10"/>
        <v>.</v>
      </c>
      <c r="Y30" s="648" t="str">
        <f t="shared" si="10"/>
        <v>.</v>
      </c>
      <c r="Z30" s="648" t="str">
        <f t="shared" si="10"/>
        <v>.</v>
      </c>
      <c r="AA30" s="648" t="str">
        <f t="shared" si="10"/>
        <v>.</v>
      </c>
      <c r="AB30" s="649" t="str">
        <f t="shared" si="10"/>
        <v>.</v>
      </c>
      <c r="AC30" s="644" t="str">
        <f xml:space="preserve"> IF(  AC16=0,  LEER,  ROUND( AC23 / AC16, $A$4 )  )</f>
        <v>.</v>
      </c>
      <c r="AE30" s="554"/>
      <c r="AF30" s="98"/>
      <c r="AJ30" s="722">
        <f xml:space="preserve"> $E30</f>
        <v>5</v>
      </c>
      <c r="AK30" s="665" t="str">
        <f t="shared" si="11"/>
        <v>.</v>
      </c>
      <c r="AL30" s="648" t="str">
        <f t="shared" si="11"/>
        <v>.</v>
      </c>
      <c r="AM30" s="648" t="str">
        <f t="shared" si="11"/>
        <v>.</v>
      </c>
      <c r="AN30" s="648" t="str">
        <f t="shared" si="11"/>
        <v>.</v>
      </c>
      <c r="AO30" s="649" t="str">
        <f t="shared" si="11"/>
        <v>.</v>
      </c>
      <c r="AP30" s="644" t="str">
        <f xml:space="preserve"> IF(  AP16=0,  LEER,  ROUND( AP23 / AP16, $A$4 )  )</f>
        <v>.</v>
      </c>
    </row>
    <row r="31" spans="1:61" x14ac:dyDescent="0.15">
      <c r="A31" s="96"/>
      <c r="W31" s="95"/>
      <c r="X31" s="95"/>
      <c r="Y31" s="95"/>
      <c r="Z31" s="95"/>
      <c r="AA31" s="95"/>
      <c r="AB31" s="95"/>
      <c r="AC31" s="95"/>
      <c r="AE31" s="554"/>
      <c r="AF31" s="98"/>
    </row>
    <row r="32" spans="1:61" x14ac:dyDescent="0.15">
      <c r="A32" s="96"/>
      <c r="E32" s="107"/>
      <c r="F32" s="1013" t="s">
        <v>292</v>
      </c>
      <c r="G32" s="1014"/>
      <c r="H32" s="1014"/>
      <c r="I32" s="1014"/>
      <c r="J32" s="1014"/>
      <c r="K32" s="1015"/>
      <c r="L32" s="551"/>
      <c r="M32" s="96"/>
      <c r="N32" s="107"/>
      <c r="O32" s="1013" t="str">
        <f xml:space="preserve"> F32</f>
        <v>beob. Storno in Abhängigkeit von Vorversicherungszeit</v>
      </c>
      <c r="P32" s="1014"/>
      <c r="Q32" s="1014"/>
      <c r="R32" s="1014"/>
      <c r="S32" s="1014"/>
      <c r="T32" s="1015"/>
      <c r="W32" s="107"/>
      <c r="X32" s="1013" t="str">
        <f xml:space="preserve"> O32</f>
        <v>beob. Storno in Abhängigkeit von Vorversicherungszeit</v>
      </c>
      <c r="Y32" s="1014"/>
      <c r="Z32" s="1014"/>
      <c r="AA32" s="1014"/>
      <c r="AB32" s="1014"/>
      <c r="AC32" s="1015"/>
      <c r="AD32" s="632"/>
      <c r="AE32" s="632"/>
      <c r="AF32" s="96"/>
    </row>
    <row r="33" spans="1:58" x14ac:dyDescent="0.15">
      <c r="A33" s="718" t="str">
        <f xml:space="preserve"> E9</f>
        <v>err. Alter</v>
      </c>
      <c r="C33" s="69"/>
      <c r="D33" s="96"/>
      <c r="E33" s="495"/>
      <c r="F33" s="97">
        <f t="array" ref="F33:J33" xml:space="preserve"> TRANSPOSE( A19:A23 )</f>
        <v>0</v>
      </c>
      <c r="G33" s="96">
        <v>1</v>
      </c>
      <c r="H33" s="96">
        <v>2</v>
      </c>
      <c r="I33" s="96">
        <v>3</v>
      </c>
      <c r="J33" s="99">
        <v>4</v>
      </c>
      <c r="K33" s="731" t="str">
        <f xml:space="preserve"> K25</f>
        <v>w^VP/alleVJ</v>
      </c>
      <c r="L33" s="96"/>
      <c r="M33" s="96"/>
      <c r="N33" s="495"/>
      <c r="O33" s="97">
        <f t="array" ref="O33:S33" xml:space="preserve"> TRANSPOSE( A19:A23 )</f>
        <v>0</v>
      </c>
      <c r="P33" s="96">
        <v>1</v>
      </c>
      <c r="Q33" s="96">
        <v>2</v>
      </c>
      <c r="R33" s="96">
        <v>3</v>
      </c>
      <c r="S33" s="99">
        <v>4</v>
      </c>
      <c r="T33" s="730" t="str">
        <f xml:space="preserve"> "ab" &amp; P1 &amp; "VJ"</f>
        <v>ab1VJ</v>
      </c>
      <c r="W33" s="495"/>
      <c r="X33" s="97">
        <f t="array" ref="X33:AB33" xml:space="preserve"> TRANSPOSE( A19:A23 )</f>
        <v>0</v>
      </c>
      <c r="Y33" s="96">
        <v>1</v>
      </c>
      <c r="Z33" s="96">
        <v>2</v>
      </c>
      <c r="AA33" s="96">
        <v>3</v>
      </c>
      <c r="AB33" s="99">
        <v>4</v>
      </c>
      <c r="AC33" s="732" t="str">
        <f xml:space="preserve"> "ab" &amp; Y1 &amp; "VJ"</f>
        <v>abVJ</v>
      </c>
      <c r="AD33" s="220"/>
      <c r="AE33" s="220"/>
      <c r="AF33" s="98"/>
      <c r="AJ33" s="96"/>
      <c r="AK33" s="96"/>
      <c r="AL33" s="96"/>
      <c r="AM33" s="96"/>
      <c r="AN33" s="96"/>
      <c r="AO33" s="96"/>
      <c r="AP33" s="69"/>
    </row>
    <row r="34" spans="1:58" x14ac:dyDescent="0.15">
      <c r="A34" s="718">
        <f t="array" ref="A34:A38" xml:space="preserve"> TRANSPOSE( F9:J9 )</f>
        <v>1</v>
      </c>
      <c r="C34" s="69"/>
      <c r="D34" s="69"/>
      <c r="E34" s="523">
        <f xml:space="preserve"> A34</f>
        <v>1</v>
      </c>
      <c r="F34" s="664">
        <f t="shared" ref="F34:J38" si="12" xml:space="preserve"> IF(  $A19&lt;F$9-1,  "",     IF(  SUM( INDEX( $F12:$J12, $A34 - F$33 ) ) = 0,  "",  ROUND(INDEX( $F19:$J19, $A34 - F$33 ) / INDEX( $F12:$J12, $A34 - F$33 ), $A$4 )  )    )</f>
        <v>8.2699999999999996E-2</v>
      </c>
      <c r="G34" s="645" t="str">
        <f t="shared" si="12"/>
        <v/>
      </c>
      <c r="H34" s="645" t="str">
        <f t="shared" si="12"/>
        <v/>
      </c>
      <c r="I34" s="645" t="str">
        <f t="shared" si="12"/>
        <v/>
      </c>
      <c r="J34" s="646" t="str">
        <f t="shared" si="12"/>
        <v/>
      </c>
      <c r="K34" s="636">
        <f xml:space="preserve"> IF(  K12=0,  LEER,  ROUND( K19 / K12, $A$4 )  )</f>
        <v>8.2699999999999996E-2</v>
      </c>
      <c r="M34" s="659"/>
      <c r="N34" s="523">
        <f xml:space="preserve"> $E34</f>
        <v>1</v>
      </c>
      <c r="O34" s="664" t="str">
        <f t="shared" ref="O34:S38" si="13" xml:space="preserve"> IF(  $A19&lt;O$9-1,  "",     IF(  SUM( INDEX( $O12:$S12, $A34 - O$33 ) ) = 0,  "",  ROUND(INDEX( $O19:$S19, $A34 - O$33 ) / INDEX( $O12:$S12, $A34 - O$33 ), $A$4 )  )    )</f>
        <v/>
      </c>
      <c r="P34" s="645" t="str">
        <f t="shared" si="13"/>
        <v/>
      </c>
      <c r="Q34" s="645" t="str">
        <f t="shared" si="13"/>
        <v/>
      </c>
      <c r="R34" s="645" t="str">
        <f t="shared" si="13"/>
        <v/>
      </c>
      <c r="S34" s="646" t="str">
        <f t="shared" si="13"/>
        <v/>
      </c>
      <c r="T34" s="637" t="str">
        <f xml:space="preserve"> IF(  T12=0,  LEER,  ROUND( T19 / T12, $A$4 )  )</f>
        <v>.</v>
      </c>
      <c r="W34" s="523">
        <f xml:space="preserve"> $E34</f>
        <v>1</v>
      </c>
      <c r="X34" s="664">
        <f t="shared" ref="X34:AB38" si="14" xml:space="preserve"> IF(  $A19&lt;X$9-1,  "",     IF(  SUM( INDEX( $X12:$AB12, $A34 - X$33 ) ) = 0,  "",  ROUND(INDEX( $X19:$AB19, $A34 - X$33 ) / INDEX( $X12:$AB12, $A34 - X$33 ), $A$4 )  )    )</f>
        <v>8.2600000000000007E-2</v>
      </c>
      <c r="Y34" s="645" t="str">
        <f t="shared" si="14"/>
        <v/>
      </c>
      <c r="Z34" s="645" t="str">
        <f t="shared" si="14"/>
        <v/>
      </c>
      <c r="AA34" s="645" t="str">
        <f t="shared" si="14"/>
        <v/>
      </c>
      <c r="AB34" s="646" t="str">
        <f t="shared" si="14"/>
        <v/>
      </c>
      <c r="AC34" s="638">
        <f xml:space="preserve"> IF(  AC12=0,  LEER,  ROUND( AC19 / AC12, $A$4 )  )</f>
        <v>8.2600000000000007E-2</v>
      </c>
      <c r="AD34" s="551"/>
      <c r="AE34" s="551"/>
      <c r="AF34" s="96"/>
      <c r="AJ34" s="96"/>
      <c r="AK34" s="96"/>
      <c r="AL34" s="96"/>
      <c r="AM34" s="96"/>
      <c r="AN34" s="96"/>
      <c r="AO34" s="96"/>
      <c r="AP34" s="69"/>
      <c r="AX34" s="667">
        <v>1</v>
      </c>
      <c r="AY34" s="658"/>
      <c r="AZ34" s="658"/>
      <c r="BA34" s="658"/>
      <c r="BB34" s="667">
        <v>1</v>
      </c>
      <c r="BC34" s="658"/>
      <c r="BD34" s="658"/>
      <c r="BE34" s="658"/>
      <c r="BF34" s="725">
        <v>0.998</v>
      </c>
    </row>
    <row r="35" spans="1:58" x14ac:dyDescent="0.15">
      <c r="A35" s="718">
        <v>2</v>
      </c>
      <c r="B35" s="545"/>
      <c r="C35" s="69"/>
      <c r="D35" s="69"/>
      <c r="E35" s="118">
        <f xml:space="preserve"> A35</f>
        <v>2</v>
      </c>
      <c r="F35" s="515">
        <f t="shared" si="12"/>
        <v>8.1000000000000003E-2</v>
      </c>
      <c r="G35" s="499">
        <f t="shared" si="12"/>
        <v>7.2700000000000001E-2</v>
      </c>
      <c r="H35" s="499" t="str">
        <f t="shared" si="12"/>
        <v/>
      </c>
      <c r="I35" s="499" t="str">
        <f t="shared" si="12"/>
        <v/>
      </c>
      <c r="J35" s="647" t="str">
        <f t="shared" si="12"/>
        <v/>
      </c>
      <c r="K35" s="639">
        <f xml:space="preserve"> IF(  K13=0,  LEER,  ROUND( K20 / K13, $A$4 )  )</f>
        <v>7.6200000000000004E-2</v>
      </c>
      <c r="M35" s="659"/>
      <c r="N35" s="118">
        <f xml:space="preserve"> $E35</f>
        <v>2</v>
      </c>
      <c r="O35" s="515" t="str">
        <f t="shared" si="13"/>
        <v/>
      </c>
      <c r="P35" s="499">
        <f t="shared" si="13"/>
        <v>7.2700000000000001E-2</v>
      </c>
      <c r="Q35" s="499" t="str">
        <f t="shared" si="13"/>
        <v/>
      </c>
      <c r="R35" s="499" t="str">
        <f t="shared" si="13"/>
        <v/>
      </c>
      <c r="S35" s="647" t="str">
        <f t="shared" si="13"/>
        <v/>
      </c>
      <c r="T35" s="640">
        <f xml:space="preserve"> IF(  T13=0,  LEER,  ROUND( T20 / T13, $A$4 )  )</f>
        <v>7.2700000000000001E-2</v>
      </c>
      <c r="W35" s="118">
        <f xml:space="preserve"> $E35</f>
        <v>2</v>
      </c>
      <c r="X35" s="515">
        <f t="shared" si="14"/>
        <v>8.1000000000000003E-2</v>
      </c>
      <c r="Y35" s="499">
        <f t="shared" si="14"/>
        <v>7.2700000000000001E-2</v>
      </c>
      <c r="Z35" s="499" t="str">
        <f t="shared" si="14"/>
        <v/>
      </c>
      <c r="AA35" s="499" t="str">
        <f t="shared" si="14"/>
        <v/>
      </c>
      <c r="AB35" s="647" t="str">
        <f t="shared" si="14"/>
        <v/>
      </c>
      <c r="AC35" s="641">
        <f xml:space="preserve"> IF(  AC13=0,  LEER,  ROUND( AC20 / AC13, $A$4 )  )</f>
        <v>7.4300000000000005E-2</v>
      </c>
      <c r="AF35" s="96"/>
      <c r="AQ35" s="134" t="b">
        <f xml:space="preserve"> ROUND( SUM(AP26), $A$4-1) &lt;= ROUND( SUM(AC26), $A$4 - 1 )</f>
        <v>1</v>
      </c>
      <c r="AX35" s="555" t="str">
        <f t="shared" ref="AX35:AX40" si="15" xml:space="preserve"> K25</f>
        <v>w^VP/alleVJ</v>
      </c>
      <c r="BB35" s="555" t="str">
        <f xml:space="preserve"> T25</f>
        <v>w^VP/ab1VJ</v>
      </c>
      <c r="BF35" s="555" t="str">
        <f t="shared" ref="BF35:BF40" si="16" xml:space="preserve"> AC25</f>
        <v>w^posAR</v>
      </c>
    </row>
    <row r="36" spans="1:58" x14ac:dyDescent="0.15">
      <c r="A36" s="718">
        <v>3</v>
      </c>
      <c r="B36" s="545"/>
      <c r="E36" s="118">
        <f xml:space="preserve"> A36</f>
        <v>3</v>
      </c>
      <c r="F36" s="515">
        <f t="shared" si="12"/>
        <v>7.8E-2</v>
      </c>
      <c r="G36" s="499">
        <f t="shared" si="12"/>
        <v>7.0900000000000005E-2</v>
      </c>
      <c r="H36" s="499">
        <f t="shared" si="12"/>
        <v>6.3899999999999998E-2</v>
      </c>
      <c r="I36" s="499" t="str">
        <f t="shared" si="12"/>
        <v/>
      </c>
      <c r="J36" s="647" t="str">
        <f t="shared" si="12"/>
        <v/>
      </c>
      <c r="K36" s="639">
        <f xml:space="preserve"> IF(  K14=0,  LEER,  ROUND( K21 / K14, $A$4 )  )</f>
        <v>6.9000000000000006E-2</v>
      </c>
      <c r="M36" s="659"/>
      <c r="N36" s="118">
        <f xml:space="preserve"> $E36</f>
        <v>3</v>
      </c>
      <c r="O36" s="515" t="str">
        <f t="shared" si="13"/>
        <v/>
      </c>
      <c r="P36" s="499">
        <f t="shared" si="13"/>
        <v>7.0900000000000005E-2</v>
      </c>
      <c r="Q36" s="499">
        <f t="shared" si="13"/>
        <v>6.3899999999999998E-2</v>
      </c>
      <c r="R36" s="499" t="str">
        <f t="shared" si="13"/>
        <v/>
      </c>
      <c r="S36" s="647" t="str">
        <f t="shared" si="13"/>
        <v/>
      </c>
      <c r="T36" s="640">
        <f xml:space="preserve"> IF(  T14=0,  LEER,  ROUND( T21 / T14, $A$4 )  )</f>
        <v>6.6799999999999998E-2</v>
      </c>
      <c r="W36" s="118">
        <f xml:space="preserve"> $E36</f>
        <v>3</v>
      </c>
      <c r="X36" s="515">
        <f t="shared" si="14"/>
        <v>7.7899999999999997E-2</v>
      </c>
      <c r="Y36" s="499">
        <f t="shared" si="14"/>
        <v>7.0900000000000005E-2</v>
      </c>
      <c r="Z36" s="499">
        <f t="shared" si="14"/>
        <v>6.3899999999999998E-2</v>
      </c>
      <c r="AA36" s="499" t="str">
        <f t="shared" si="14"/>
        <v/>
      </c>
      <c r="AB36" s="647" t="str">
        <f t="shared" si="14"/>
        <v/>
      </c>
      <c r="AC36" s="641">
        <f xml:space="preserve"> IF(  AC14=0,  LEER,  ROUND( AC21 / AC14, $A$4 )  )</f>
        <v>6.6400000000000001E-2</v>
      </c>
      <c r="AQ36" s="134" t="b">
        <f xml:space="preserve"> ROUND( SUM(AP27), $A$4-1) &lt;= ROUND( SUM(AC27), $A$4 - 1 )</f>
        <v>1</v>
      </c>
      <c r="AX36" s="555">
        <f t="shared" si="15"/>
        <v>8.2699999999999996E-2</v>
      </c>
      <c r="BB36" s="612">
        <f xml:space="preserve"> AX36</f>
        <v>8.2699999999999996E-2</v>
      </c>
      <c r="BF36" s="555">
        <f t="shared" si="16"/>
        <v>8.2600000000000007E-2</v>
      </c>
    </row>
    <row r="37" spans="1:58" x14ac:dyDescent="0.15">
      <c r="A37" s="718">
        <v>4</v>
      </c>
      <c r="B37" s="545"/>
      <c r="E37" s="118">
        <f xml:space="preserve"> A37</f>
        <v>4</v>
      </c>
      <c r="F37" s="515">
        <f t="shared" si="12"/>
        <v>0.04</v>
      </c>
      <c r="G37" s="499">
        <f t="shared" si="12"/>
        <v>3.3599999999999998E-2</v>
      </c>
      <c r="H37" s="499">
        <f t="shared" si="12"/>
        <v>3.1300000000000001E-2</v>
      </c>
      <c r="I37" s="499">
        <f t="shared" si="12"/>
        <v>2.8000000000000001E-2</v>
      </c>
      <c r="J37" s="647" t="str">
        <f t="shared" si="12"/>
        <v/>
      </c>
      <c r="K37" s="639">
        <f xml:space="preserve"> IF(  K15=0,  LEER,  ROUND( K22 / K15, $A$4 )  )</f>
        <v>3.04E-2</v>
      </c>
      <c r="M37" s="659"/>
      <c r="N37" s="118">
        <f xml:space="preserve"> $E37</f>
        <v>4</v>
      </c>
      <c r="O37" s="515" t="str">
        <f t="shared" si="13"/>
        <v/>
      </c>
      <c r="P37" s="499">
        <f t="shared" si="13"/>
        <v>3.3599999999999998E-2</v>
      </c>
      <c r="Q37" s="499">
        <f t="shared" si="13"/>
        <v>3.1300000000000001E-2</v>
      </c>
      <c r="R37" s="499">
        <f t="shared" si="13"/>
        <v>2.8000000000000001E-2</v>
      </c>
      <c r="S37" s="647" t="str">
        <f t="shared" si="13"/>
        <v/>
      </c>
      <c r="T37" s="640">
        <f xml:space="preserve"> IF(  T15=0,  LEER,  ROUND( T22 / T15, $A$4 )  )</f>
        <v>3.0200000000000001E-2</v>
      </c>
      <c r="V37" s="481"/>
      <c r="W37" s="118">
        <f xml:space="preserve"> $E37</f>
        <v>4</v>
      </c>
      <c r="X37" s="515">
        <f t="shared" si="14"/>
        <v>3.9899999999999998E-2</v>
      </c>
      <c r="Y37" s="499">
        <f t="shared" si="14"/>
        <v>3.3599999999999998E-2</v>
      </c>
      <c r="Z37" s="499">
        <f t="shared" si="14"/>
        <v>3.1300000000000001E-2</v>
      </c>
      <c r="AA37" s="499">
        <f t="shared" si="14"/>
        <v>2.8000000000000001E-2</v>
      </c>
      <c r="AB37" s="647" t="str">
        <f t="shared" si="14"/>
        <v/>
      </c>
      <c r="AC37" s="641">
        <f xml:space="preserve"> IF(  AC15=0,  LEER,  ROUND( AC22 / AC15, $A$4 )  )</f>
        <v>2.9499999999999998E-2</v>
      </c>
      <c r="AQ37" s="134" t="b">
        <f xml:space="preserve"> ROUND( SUM(AP28), $A$4-1) &lt;= ROUND( SUM(AC28), $A$4 - 1 )</f>
        <v>1</v>
      </c>
      <c r="AX37" s="555">
        <f t="shared" si="15"/>
        <v>7.6200000000000004E-2</v>
      </c>
      <c r="BB37" s="555">
        <f xml:space="preserve"> T27</f>
        <v>7.2700000000000001E-2</v>
      </c>
      <c r="BF37" s="555">
        <f t="shared" si="16"/>
        <v>7.4300000000000005E-2</v>
      </c>
    </row>
    <row r="38" spans="1:58" x14ac:dyDescent="0.15">
      <c r="A38" s="718">
        <v>5</v>
      </c>
      <c r="B38" s="545"/>
      <c r="E38" s="126">
        <f xml:space="preserve"> A38</f>
        <v>5</v>
      </c>
      <c r="F38" s="665">
        <f t="shared" si="12"/>
        <v>0</v>
      </c>
      <c r="G38" s="648">
        <f t="shared" si="12"/>
        <v>0</v>
      </c>
      <c r="H38" s="648">
        <f t="shared" si="12"/>
        <v>0</v>
      </c>
      <c r="I38" s="648">
        <f t="shared" si="12"/>
        <v>0</v>
      </c>
      <c r="J38" s="649">
        <f t="shared" si="12"/>
        <v>0</v>
      </c>
      <c r="K38" s="642">
        <f xml:space="preserve"> IF(  K16=0,  LEER,  ROUND( K23 / K16, $A$4 )  )</f>
        <v>0</v>
      </c>
      <c r="M38" s="659"/>
      <c r="N38" s="126">
        <f xml:space="preserve"> $E38</f>
        <v>5</v>
      </c>
      <c r="O38" s="665" t="str">
        <f t="shared" si="13"/>
        <v/>
      </c>
      <c r="P38" s="648">
        <f t="shared" si="13"/>
        <v>0</v>
      </c>
      <c r="Q38" s="648">
        <f t="shared" si="13"/>
        <v>0</v>
      </c>
      <c r="R38" s="648">
        <f t="shared" si="13"/>
        <v>0</v>
      </c>
      <c r="S38" s="649">
        <f t="shared" si="13"/>
        <v>0</v>
      </c>
      <c r="T38" s="643">
        <f xml:space="preserve"> IF(  T16=0,  LEER,  ROUND( T23 / T16, $A$4 )  )</f>
        <v>0</v>
      </c>
      <c r="W38" s="126">
        <f xml:space="preserve"> $E38</f>
        <v>5</v>
      </c>
      <c r="X38" s="665" t="str">
        <f t="shared" si="14"/>
        <v/>
      </c>
      <c r="Y38" s="648" t="str">
        <f t="shared" si="14"/>
        <v/>
      </c>
      <c r="Z38" s="648" t="str">
        <f t="shared" si="14"/>
        <v/>
      </c>
      <c r="AA38" s="648" t="str">
        <f t="shared" si="14"/>
        <v/>
      </c>
      <c r="AB38" s="649" t="str">
        <f t="shared" si="14"/>
        <v/>
      </c>
      <c r="AC38" s="644" t="str">
        <f xml:space="preserve"> IF(  AC16=0,  LEER,  ROUND( AC23 / AC16, $A$4 )  )</f>
        <v>.</v>
      </c>
      <c r="AQ38" s="134" t="b">
        <f xml:space="preserve"> ROUND( SUM(AP29), $A$4-1) &lt;= ROUND( SUM(AC29), $A$4 - 1 )</f>
        <v>1</v>
      </c>
      <c r="AX38" s="555">
        <f t="shared" si="15"/>
        <v>6.9000000000000006E-2</v>
      </c>
      <c r="BB38" s="555">
        <f xml:space="preserve"> T28</f>
        <v>6.6799999999999998E-2</v>
      </c>
      <c r="BF38" s="555">
        <f t="shared" si="16"/>
        <v>6.6400000000000001E-2</v>
      </c>
    </row>
    <row r="39" spans="1:58" x14ac:dyDescent="0.15">
      <c r="A39" s="96"/>
      <c r="B39" s="545"/>
      <c r="W39" s="95"/>
      <c r="X39" s="95"/>
      <c r="Y39" s="95"/>
      <c r="Z39" s="95"/>
      <c r="AA39" s="95"/>
      <c r="AB39" s="95"/>
      <c r="AC39" s="95"/>
      <c r="AX39" s="555">
        <f t="shared" si="15"/>
        <v>3.04E-2</v>
      </c>
      <c r="BB39" s="555">
        <f xml:space="preserve"> T29</f>
        <v>3.0200000000000001E-2</v>
      </c>
      <c r="BF39" s="555">
        <f t="shared" si="16"/>
        <v>2.9499999999999998E-2</v>
      </c>
    </row>
    <row r="40" spans="1:58" x14ac:dyDescent="0.15">
      <c r="A40" s="90"/>
      <c r="B40" s="546"/>
      <c r="AX40" s="555">
        <f t="shared" si="15"/>
        <v>0</v>
      </c>
      <c r="BB40" s="555">
        <f xml:space="preserve"> T30</f>
        <v>0</v>
      </c>
      <c r="BF40" s="555" t="str">
        <f t="shared" si="16"/>
        <v>.</v>
      </c>
    </row>
    <row r="41" spans="1:58" x14ac:dyDescent="0.15">
      <c r="A41" s="546"/>
      <c r="B41" s="546"/>
    </row>
    <row r="42" spans="1:58" x14ac:dyDescent="0.15">
      <c r="A42" s="546"/>
      <c r="B42" s="546"/>
    </row>
    <row r="43" spans="1:58" x14ac:dyDescent="0.15">
      <c r="A43" s="546"/>
      <c r="B43" s="546"/>
      <c r="T43" s="134">
        <f xml:space="preserve"> A19</f>
        <v>0</v>
      </c>
      <c r="U43" s="134" t="b">
        <f xml:space="preserve"> ROUND( SUM(T26), $A$4-1) &lt;= ROUND( SUM(K26), $A$4 - 1 )</f>
        <v>1</v>
      </c>
      <c r="AB43" s="134">
        <f xml:space="preserve"> A19</f>
        <v>0</v>
      </c>
      <c r="AC43" s="134" t="b">
        <f xml:space="preserve"> ROUND( SUM(AC26), $A$4-1) &lt;= ROUND( SUM(K26), $A$4 - 1 )</f>
        <v>1</v>
      </c>
      <c r="AD43" s="499"/>
    </row>
    <row r="44" spans="1:58" x14ac:dyDescent="0.15">
      <c r="A44" s="546"/>
      <c r="B44" s="546"/>
      <c r="T44" s="134">
        <f xml:space="preserve"> A20</f>
        <v>1</v>
      </c>
      <c r="U44" s="134" t="b">
        <f xml:space="preserve"> ROUND( SUM(T27), $A$4-1) &lt;= ROUND( SUM(K27), $A$4 - 1 )</f>
        <v>1</v>
      </c>
      <c r="AB44" s="134">
        <f xml:space="preserve"> A20</f>
        <v>1</v>
      </c>
      <c r="AC44" s="134" t="b">
        <f xml:space="preserve"> ROUND( SUM(AC27), $A$4-1) &lt;= ROUND( SUM(K27), $A$4 - 1 )</f>
        <v>1</v>
      </c>
      <c r="AD44" s="134" t="b">
        <f xml:space="preserve"> ROUND( SUM(AC27), $A$4-1) &lt;= ROUND( SUM(T27), $A$4 - 1 )</f>
        <v>0</v>
      </c>
    </row>
    <row r="45" spans="1:58" x14ac:dyDescent="0.15">
      <c r="A45" s="546"/>
      <c r="B45" s="546"/>
      <c r="T45" s="134">
        <f xml:space="preserve"> A21</f>
        <v>2</v>
      </c>
      <c r="U45" s="134" t="b">
        <f xml:space="preserve"> ROUND( SUM(T28), $A$4-1) &lt;= ROUND( SUM(K28), $A$4 - 1 )</f>
        <v>1</v>
      </c>
      <c r="AB45" s="134">
        <f xml:space="preserve"> A21</f>
        <v>2</v>
      </c>
      <c r="AC45" s="134" t="b">
        <f xml:space="preserve"> ROUND( SUM(AC28), $A$4-1) &lt;= ROUND( SUM(K28), $A$4 - 1 )</f>
        <v>1</v>
      </c>
      <c r="AD45" s="134" t="b">
        <f xml:space="preserve"> ROUND( SUM(AC28), $A$4-1) &lt;= ROUND( SUM(T28), $A$4 - 1 )</f>
        <v>1</v>
      </c>
    </row>
    <row r="46" spans="1:58" x14ac:dyDescent="0.15">
      <c r="A46" s="546"/>
      <c r="B46" s="546"/>
      <c r="T46" s="134">
        <f xml:space="preserve"> A22</f>
        <v>3</v>
      </c>
      <c r="U46" s="134" t="b">
        <f xml:space="preserve"> ROUND( SUM(T29), $A$4-1) &lt;= ROUND( SUM(K29), $A$4 - 1 )</f>
        <v>1</v>
      </c>
      <c r="AB46" s="134">
        <f xml:space="preserve"> A22</f>
        <v>3</v>
      </c>
      <c r="AC46" s="134" t="b">
        <f xml:space="preserve"> ROUND( SUM(AC29), $A$4-1) &lt;= ROUND( SUM(K29), $A$4 - 1 )</f>
        <v>1</v>
      </c>
      <c r="AD46" s="134" t="b">
        <f xml:space="preserve"> ROUND( SUM(AC29), $A$4-1) &lt;= ROUND( SUM(T29), $A$4 - 1 )</f>
        <v>1</v>
      </c>
    </row>
    <row r="47" spans="1:58" x14ac:dyDescent="0.15">
      <c r="A47" s="546"/>
      <c r="B47" s="546"/>
      <c r="T47" s="134">
        <f xml:space="preserve"> A23</f>
        <v>4</v>
      </c>
      <c r="U47" s="134" t="b">
        <f xml:space="preserve"> ROUND( SUM(T30), $A$4-1) &lt;= ROUND( SUM(K30), $A$4 - 1 )</f>
        <v>1</v>
      </c>
      <c r="AB47" s="134">
        <f xml:space="preserve"> A23</f>
        <v>4</v>
      </c>
      <c r="AC47" s="134" t="b">
        <f xml:space="preserve"> ROUND( SUM(AC30), $A$4-1) &lt;= ROUND( SUM(K30), $A$4 - 1 )</f>
        <v>1</v>
      </c>
      <c r="AD47" s="134" t="b">
        <f xml:space="preserve"> ROUND( SUM(AC30), $A$4-1) &lt;= ROUND( SUM(T30), $A$4 - 1 )</f>
        <v>1</v>
      </c>
    </row>
    <row r="48" spans="1:58" x14ac:dyDescent="0.15">
      <c r="A48" s="216"/>
      <c r="B48" s="547"/>
      <c r="AC48" s="606"/>
      <c r="AD48" s="606"/>
      <c r="AE48" s="606"/>
    </row>
    <row r="49" spans="1:41" x14ac:dyDescent="0.15">
      <c r="A49" s="216"/>
      <c r="B49" s="547"/>
      <c r="AC49" s="607"/>
      <c r="AD49" s="607"/>
      <c r="AE49" s="607"/>
    </row>
    <row r="50" spans="1:41" x14ac:dyDescent="0.15">
      <c r="A50" s="216"/>
      <c r="B50" s="547"/>
      <c r="F50" s="662">
        <v>0</v>
      </c>
      <c r="G50" s="662">
        <v>0</v>
      </c>
      <c r="H50" s="662">
        <v>0</v>
      </c>
      <c r="I50" s="662">
        <v>0</v>
      </c>
      <c r="J50" s="662">
        <v>0</v>
      </c>
    </row>
    <row r="51" spans="1:41" x14ac:dyDescent="0.15">
      <c r="F51" s="662">
        <v>0</v>
      </c>
      <c r="G51" s="662">
        <v>0</v>
      </c>
      <c r="H51" s="662">
        <v>0</v>
      </c>
      <c r="I51" s="662">
        <v>0</v>
      </c>
      <c r="J51" s="662">
        <v>0</v>
      </c>
    </row>
    <row r="52" spans="1:41" x14ac:dyDescent="0.15">
      <c r="A52" s="150" t="s">
        <v>289</v>
      </c>
      <c r="B52" s="650"/>
      <c r="E52" s="651">
        <f xml:space="preserve"> A12</f>
        <v>0</v>
      </c>
      <c r="F52" s="662">
        <v>1500</v>
      </c>
      <c r="G52" s="662">
        <v>0</v>
      </c>
      <c r="H52" s="662">
        <v>0</v>
      </c>
      <c r="I52" s="662">
        <v>0</v>
      </c>
      <c r="J52" s="662">
        <v>0</v>
      </c>
      <c r="K52" s="652" t="str">
        <f xml:space="preserve"> A52</f>
        <v>L^StTag_x,τ</v>
      </c>
      <c r="L52" s="95" t="str">
        <f t="shared" ref="L52:L67" si="17" xml:space="preserve"> K52 &amp; " # " &amp; E52</f>
        <v>L^StTag_x,τ # 0</v>
      </c>
      <c r="V52" s="653">
        <f t="array" ref="V52:AB59" xml:space="preserve"> AR!E7:K14</f>
        <v>0</v>
      </c>
      <c r="W52" s="653" t="str">
        <v>P_x</v>
      </c>
      <c r="X52" s="653">
        <v>18.48</v>
      </c>
      <c r="Y52" s="653">
        <v>21.54</v>
      </c>
      <c r="Z52" s="653">
        <v>26.86</v>
      </c>
      <c r="AA52" s="653">
        <v>34.979999999999997</v>
      </c>
      <c r="AB52" s="653">
        <v>50</v>
      </c>
      <c r="AC52" s="608"/>
      <c r="AD52" s="608"/>
      <c r="AE52" s="608"/>
      <c r="AI52" s="653">
        <f t="array" ref="AI52:AO59" xml:space="preserve"> AR!E19:K26</f>
        <v>0</v>
      </c>
      <c r="AJ52" s="653" t="str">
        <v>P^Z_x</v>
      </c>
      <c r="AK52" s="653">
        <v>19.68</v>
      </c>
      <c r="AL52" s="653">
        <v>23.16</v>
      </c>
      <c r="AM52" s="653">
        <v>29.45</v>
      </c>
      <c r="AN52" s="653">
        <v>37.340000000000003</v>
      </c>
      <c r="AO52" s="653">
        <v>50</v>
      </c>
    </row>
    <row r="53" spans="1:41" x14ac:dyDescent="0.15">
      <c r="B53" s="650"/>
      <c r="E53" s="134">
        <f xml:space="preserve"> E52</f>
        <v>0</v>
      </c>
      <c r="F53" s="654">
        <f xml:space="preserve">  IF( $K53 = $A$82, ROUND(  F52  *  SUM(  INDEX( F$83:F$87, MATCH( $E53+1, $A$83:$A$87, 0 ) )  ),  0 ),
    IF( $K53 = $A$74, ROUND(  F51  *  SUM(  INDEX( F$75:F$79, MATCH( $E53+1, $A$75:$A$79, 0 ) )  ),  0 ),
                                             F50 - F51 - F52                     ) )</f>
        <v>15</v>
      </c>
      <c r="G53" s="654">
        <f xml:space="preserve">  IF( $K53 = $A$82, ROUND(  G52  *  SUM(  INDEX( G$83:G$87, MATCH( $E53+1, $A$83:$A$87, 0 ) )  ),  0 ),
    IF( $K53 = $A$74, ROUND(  G51  *  SUM(  INDEX( G$75:G$79, MATCH( $E53+1, $A$75:$A$79, 0 ) )  ),  0 ),
                                             G50 - G51 - G52                     ) )</f>
        <v>0</v>
      </c>
      <c r="H53" s="654">
        <f xml:space="preserve">  IF( $K53 = $A$82, ROUND(  H52  *  SUM(  INDEX( H$83:H$87, MATCH( $E53+1, $A$83:$A$87, 0 ) )  ),  0 ),
    IF( $K53 = $A$74, ROUND(  H51  *  SUM(  INDEX( H$75:H$79, MATCH( $E53+1, $A$75:$A$79, 0 ) )  ),  0 ),
                                             H50 - H51 - H52                     ) )</f>
        <v>0</v>
      </c>
      <c r="I53" s="654">
        <f xml:space="preserve">  IF( $K53 = $A$82, ROUND(  I52  *  SUM(  INDEX( I$83:I$87, MATCH( $E53+1, $A$83:$A$87, 0 ) )  ),  0 ),
    IF( $K53 = $A$74, ROUND(  I51  *  SUM(  INDEX( I$75:I$79, MATCH( $E53+1, $A$75:$A$79, 0 ) )  ),  0 ),
                                             I50 - I51 - I52                     ) )</f>
        <v>0</v>
      </c>
      <c r="J53" s="654">
        <f xml:space="preserve">  IF( $K53 = $A$82, ROUND(  J52  *  SUM(  INDEX( J$83:J$87, MATCH( $E53+1, $A$83:$A$87, 0 ) )  ),  0 ),
    IF( $K53 = $A$74, ROUND(  J51  *  SUM(  INDEX( J$75:J$79, MATCH( $E53+1, $A$75:$A$79, 0 ) )  ),  0 ),
                                             J50 - J51 - J52                     ) )</f>
        <v>0</v>
      </c>
      <c r="K53" s="652" t="str">
        <f xml:space="preserve"> A82</f>
        <v>Q^_x</v>
      </c>
      <c r="L53" s="95" t="str">
        <f t="shared" si="17"/>
        <v>Q^_x # 0</v>
      </c>
      <c r="V53" s="653" t="str">
        <v>V_x;x+m</v>
      </c>
      <c r="W53" s="653" t="str">
        <v>x</v>
      </c>
      <c r="X53" s="653">
        <v>1</v>
      </c>
      <c r="Y53" s="653">
        <v>2</v>
      </c>
      <c r="Z53" s="653">
        <v>3</v>
      </c>
      <c r="AA53" s="653">
        <v>4</v>
      </c>
      <c r="AB53" s="653">
        <v>5</v>
      </c>
      <c r="AC53" s="608"/>
      <c r="AD53" s="608"/>
      <c r="AE53" s="608"/>
      <c r="AI53" s="653" t="str">
        <v>V^Z_x;x+m</v>
      </c>
      <c r="AJ53" s="653" t="str">
        <v>x</v>
      </c>
      <c r="AK53" s="653">
        <v>1</v>
      </c>
      <c r="AL53" s="653">
        <v>2</v>
      </c>
      <c r="AM53" s="653">
        <v>3</v>
      </c>
      <c r="AN53" s="653">
        <v>4</v>
      </c>
      <c r="AO53" s="653">
        <v>5</v>
      </c>
    </row>
    <row r="54" spans="1:41" x14ac:dyDescent="0.15">
      <c r="B54" s="650"/>
      <c r="E54" s="134">
        <f xml:space="preserve"> E53</f>
        <v>0</v>
      </c>
      <c r="F54" s="654">
        <f t="shared" ref="F54:F67" si="18" xml:space="preserve">  IF( $K54 = $A$82, ROUND(  F53  *  SUM(  INDEX( F$83:F$87, MATCH( $E54+1, $A$83:$A$87, 0 ) )  ),  0 ),
    IF( $K54 = $A$74, ROUND(  F52  *  SUM(  INDEX( F$75:F$79, MATCH( $E54+1, $A$75:$A$79, 0 ) )  ),  0 ),
                                             F51 - F52 - F53                     ) )</f>
        <v>124</v>
      </c>
      <c r="G54" s="654">
        <f xml:space="preserve">  IF( $K54 = $A$82, ROUND(  G53  *  SUM(  INDEX( G$83:G$87, MATCH( $E54+1, $A$83:$A$87, 0 ) )  ),  0 ),
    IF( $K54 = $A$74, ROUND(  G52  *  SUM(  INDEX( G$75:G$79, MATCH( $E54+1, $A$75:$A$79, 0 ) )  ),  0 ),
                                             G51 - G52 - G53                     ) )</f>
        <v>0</v>
      </c>
      <c r="H54" s="654">
        <f xml:space="preserve">  IF( $K54 = $A$82, ROUND(  H53  *  SUM(  INDEX( H$83:H$87, MATCH( $E54+1, $A$83:$A$87, 0 ) )  ),  0 ),
    IF( $K54 = $A$74, ROUND(  H52  *  SUM(  INDEX( H$75:H$79, MATCH( $E54+1, $A$75:$A$79, 0 ) )  ),  0 ),
                                             H51 - H52 - H53                     ) )</f>
        <v>0</v>
      </c>
      <c r="I54" s="654">
        <f xml:space="preserve">  IF( $K54 = $A$82, ROUND(  I53  *  SUM(  INDEX( I$83:I$87, MATCH( $E54+1, $A$83:$A$87, 0 ) )  ),  0 ),
    IF( $K54 = $A$74, ROUND(  I52  *  SUM(  INDEX( I$75:I$79, MATCH( $E54+1, $A$75:$A$79, 0 ) )  ),  0 ),
                                             I51 - I52 - I53                     ) )</f>
        <v>0</v>
      </c>
      <c r="J54" s="654">
        <f xml:space="preserve">  IF( $K54 = $A$82, ROUND(  J53  *  SUM(  INDEX( J$83:J$87, MATCH( $E54+1, $A$83:$A$87, 0 ) )  ),  0 ),
    IF( $K54 = $A$74, ROUND(  J52  *  SUM(  INDEX( J$75:J$79, MATCH( $E54+1, $A$75:$A$79, 0 ) )  ),  0 ),
                                             J51 - J52 - J53                     ) )</f>
        <v>0</v>
      </c>
      <c r="K54" s="652" t="str">
        <f xml:space="preserve"> A74</f>
        <v>W^_x</v>
      </c>
      <c r="L54" s="95" t="str">
        <f t="shared" si="17"/>
        <v>W^_x # 0</v>
      </c>
      <c r="V54" s="653" t="str">
        <v>x+m</v>
      </c>
      <c r="W54" s="653">
        <v>0</v>
      </c>
      <c r="X54" s="653">
        <v>0</v>
      </c>
      <c r="Y54" s="653">
        <v>0</v>
      </c>
      <c r="Z54" s="653">
        <v>0</v>
      </c>
      <c r="AA54" s="653">
        <v>0</v>
      </c>
      <c r="AB54" s="653">
        <v>0</v>
      </c>
      <c r="AC54" s="608"/>
      <c r="AD54" s="608"/>
      <c r="AE54" s="608"/>
      <c r="AI54" s="653" t="str">
        <v>x+m</v>
      </c>
      <c r="AJ54" s="653">
        <v>0</v>
      </c>
      <c r="AK54" s="653">
        <v>0</v>
      </c>
      <c r="AL54" s="653">
        <v>0</v>
      </c>
      <c r="AM54" s="653">
        <v>0</v>
      </c>
      <c r="AN54" s="653">
        <v>0</v>
      </c>
      <c r="AO54" s="653">
        <v>0</v>
      </c>
    </row>
    <row r="55" spans="1:41" x14ac:dyDescent="0.15">
      <c r="B55" s="650"/>
      <c r="E55" s="134">
        <f t="shared" ref="E55:E67" si="19" xml:space="preserve"> E52+1</f>
        <v>1</v>
      </c>
      <c r="F55" s="654">
        <f t="shared" si="18"/>
        <v>1361</v>
      </c>
      <c r="G55" s="662">
        <v>1000</v>
      </c>
      <c r="H55" s="654">
        <f t="shared" ref="H55:J57" si="20" xml:space="preserve">  IF( $K55 = $A$82, ROUND(  H54  *  SUM(  INDEX( H$83:H$87, MATCH( $E55+1, $A$83:$A$87, 0 ) )  ),  0 ),
    IF( $K55 = $A$74, ROUND(  H53  *  SUM(  INDEX( H$75:H$79, MATCH( $E55+1, $A$75:$A$79, 0 ) )  ),  0 ),
                                             H52 - H53 - H54                     ) )</f>
        <v>0</v>
      </c>
      <c r="I55" s="654">
        <f t="shared" si="20"/>
        <v>0</v>
      </c>
      <c r="J55" s="654">
        <f t="shared" si="20"/>
        <v>0</v>
      </c>
      <c r="K55" s="134" t="str">
        <f xml:space="preserve"> K52</f>
        <v>L^StTag_x,τ</v>
      </c>
      <c r="L55" s="95" t="str">
        <f t="shared" si="17"/>
        <v>L^StTag_x,τ # 1</v>
      </c>
      <c r="V55" s="653">
        <v>1</v>
      </c>
      <c r="W55" s="653">
        <v>0</v>
      </c>
      <c r="X55" s="655">
        <v>0</v>
      </c>
      <c r="Y55" s="655" t="str">
        <v>.</v>
      </c>
      <c r="Z55" s="655" t="str">
        <v>.</v>
      </c>
      <c r="AA55" s="655" t="str">
        <v>.</v>
      </c>
      <c r="AB55" s="655" t="str">
        <v>.</v>
      </c>
      <c r="AC55" s="608"/>
      <c r="AD55" s="608"/>
      <c r="AE55" s="608"/>
      <c r="AI55" s="653">
        <v>1</v>
      </c>
      <c r="AJ55" s="653">
        <v>0</v>
      </c>
      <c r="AK55" s="655">
        <v>-4.55</v>
      </c>
      <c r="AL55" s="655" t="str">
        <v>.</v>
      </c>
      <c r="AM55" s="655" t="str">
        <v>.</v>
      </c>
      <c r="AN55" s="655" t="str">
        <v>.</v>
      </c>
      <c r="AO55" s="655" t="str">
        <v>.</v>
      </c>
    </row>
    <row r="56" spans="1:41" x14ac:dyDescent="0.15">
      <c r="B56" s="650"/>
      <c r="E56" s="134">
        <f t="shared" si="19"/>
        <v>1</v>
      </c>
      <c r="F56" s="654">
        <f t="shared" si="18"/>
        <v>41</v>
      </c>
      <c r="G56" s="654">
        <f t="shared" ref="G56:G67" si="21" xml:space="preserve">  IF( $K56 = $A$82, ROUND(  G55  *  SUM(  INDEX( G$83:G$87, MATCH( $E56+1, $A$83:$A$87, 0 ) )  ),  0 ),
    IF( $K56 = $A$74, ROUND(  G54  *  SUM(  INDEX( G$75:G$79, MATCH( $E56+1, $A$75:$A$79, 0 ) )  ),  0 ),
                                             G53 - G54 - G55                     ) )</f>
        <v>30</v>
      </c>
      <c r="H56" s="654">
        <f t="shared" si="20"/>
        <v>0</v>
      </c>
      <c r="I56" s="654">
        <f t="shared" si="20"/>
        <v>0</v>
      </c>
      <c r="J56" s="654">
        <f t="shared" si="20"/>
        <v>0</v>
      </c>
      <c r="K56" s="134" t="str">
        <f xml:space="preserve"> sx!$F$8</f>
        <v>Q^_x</v>
      </c>
      <c r="L56" s="95" t="str">
        <f t="shared" si="17"/>
        <v>Q^_x # 1</v>
      </c>
      <c r="V56" s="653">
        <v>2</v>
      </c>
      <c r="W56" s="653">
        <v>0</v>
      </c>
      <c r="X56" s="655">
        <v>9.6</v>
      </c>
      <c r="Y56" s="655">
        <v>-0.01</v>
      </c>
      <c r="Z56" s="655" t="str">
        <v>.</v>
      </c>
      <c r="AA56" s="655" t="str">
        <v>.</v>
      </c>
      <c r="AB56" s="655" t="str">
        <v>.</v>
      </c>
      <c r="AC56" s="608"/>
      <c r="AD56" s="608"/>
      <c r="AE56" s="608"/>
      <c r="AI56" s="653">
        <v>2</v>
      </c>
      <c r="AJ56" s="653">
        <v>0</v>
      </c>
      <c r="AK56" s="655">
        <v>5.83</v>
      </c>
      <c r="AL56" s="655">
        <v>-5.09</v>
      </c>
      <c r="AM56" s="655" t="str">
        <v>.</v>
      </c>
      <c r="AN56" s="655" t="str">
        <v>.</v>
      </c>
      <c r="AO56" s="655" t="str">
        <v>.</v>
      </c>
    </row>
    <row r="57" spans="1:41" x14ac:dyDescent="0.15">
      <c r="A57" s="548"/>
      <c r="B57" s="650"/>
      <c r="E57" s="134">
        <f t="shared" si="19"/>
        <v>1</v>
      </c>
      <c r="F57" s="654">
        <f t="shared" si="18"/>
        <v>99</v>
      </c>
      <c r="G57" s="654">
        <f t="shared" si="21"/>
        <v>81</v>
      </c>
      <c r="H57" s="654">
        <f t="shared" si="20"/>
        <v>0</v>
      </c>
      <c r="I57" s="654">
        <f t="shared" si="20"/>
        <v>0</v>
      </c>
      <c r="J57" s="654">
        <f t="shared" si="20"/>
        <v>0</v>
      </c>
      <c r="K57" s="134" t="str">
        <f xml:space="preserve"> sx!$G$8</f>
        <v>W^_x</v>
      </c>
      <c r="L57" s="95" t="str">
        <f t="shared" si="17"/>
        <v>W^_x # 1</v>
      </c>
      <c r="V57" s="653">
        <v>3</v>
      </c>
      <c r="W57" s="653">
        <v>0</v>
      </c>
      <c r="X57" s="655">
        <v>20.7</v>
      </c>
      <c r="Y57" s="655">
        <v>13.15</v>
      </c>
      <c r="Z57" s="655">
        <v>0.01</v>
      </c>
      <c r="AA57" s="655" t="str">
        <v>.</v>
      </c>
      <c r="AB57" s="655" t="str">
        <v>.</v>
      </c>
      <c r="AI57" s="653">
        <v>3</v>
      </c>
      <c r="AJ57" s="653">
        <v>0</v>
      </c>
      <c r="AK57" s="655">
        <v>17.739999999999998</v>
      </c>
      <c r="AL57" s="655">
        <v>9.14</v>
      </c>
      <c r="AM57" s="655">
        <v>-6.39</v>
      </c>
      <c r="AN57" s="655" t="str">
        <v>.</v>
      </c>
      <c r="AO57" s="655" t="str">
        <v>.</v>
      </c>
    </row>
    <row r="58" spans="1:41" x14ac:dyDescent="0.15">
      <c r="A58" s="548"/>
      <c r="B58" s="650"/>
      <c r="E58" s="134">
        <f t="shared" si="19"/>
        <v>2</v>
      </c>
      <c r="F58" s="654">
        <f t="shared" si="18"/>
        <v>1221</v>
      </c>
      <c r="G58" s="654">
        <f t="shared" si="21"/>
        <v>889</v>
      </c>
      <c r="H58" s="662">
        <v>500</v>
      </c>
      <c r="I58" s="654">
        <f t="shared" ref="I58:J60" si="22" xml:space="preserve">  IF( $K58 = $A$82, ROUND(  I57  *  SUM(  INDEX( I$83:I$87, MATCH( $E58+1, $A$83:$A$87, 0 ) )  ),  0 ),
    IF( $K58 = $A$74, ROUND(  I56  *  SUM(  INDEX( I$75:I$79, MATCH( $E58+1, $A$75:$A$79, 0 ) )  ),  0 ),
                                             I55 - I56 - I57                     ) )</f>
        <v>0</v>
      </c>
      <c r="J58" s="654">
        <f t="shared" si="22"/>
        <v>0</v>
      </c>
      <c r="K58" s="134" t="str">
        <f xml:space="preserve"> K55</f>
        <v>L^StTag_x,τ</v>
      </c>
      <c r="L58" s="95" t="str">
        <f t="shared" si="17"/>
        <v>L^StTag_x,τ # 2</v>
      </c>
      <c r="V58" s="653">
        <v>4</v>
      </c>
      <c r="W58" s="653">
        <v>0</v>
      </c>
      <c r="X58" s="655">
        <v>27.55</v>
      </c>
      <c r="Y58" s="655">
        <v>22.44</v>
      </c>
      <c r="Z58" s="655">
        <v>13.55</v>
      </c>
      <c r="AA58" s="655">
        <v>-0.01</v>
      </c>
      <c r="AB58" s="655" t="str">
        <v>.</v>
      </c>
      <c r="AI58" s="653">
        <v>4</v>
      </c>
      <c r="AJ58" s="653">
        <v>0</v>
      </c>
      <c r="AK58" s="655">
        <v>25.54</v>
      </c>
      <c r="AL58" s="655">
        <v>19.73</v>
      </c>
      <c r="AM58" s="655">
        <v>9.23</v>
      </c>
      <c r="AN58" s="655">
        <v>-3.95</v>
      </c>
      <c r="AO58" s="655" t="str">
        <v>.</v>
      </c>
    </row>
    <row r="59" spans="1:41" x14ac:dyDescent="0.15">
      <c r="A59" s="548"/>
      <c r="B59" s="650"/>
      <c r="E59" s="134">
        <f t="shared" si="19"/>
        <v>2</v>
      </c>
      <c r="F59" s="654">
        <f t="shared" si="18"/>
        <v>37</v>
      </c>
      <c r="G59" s="654">
        <f t="shared" si="21"/>
        <v>27</v>
      </c>
      <c r="H59" s="654">
        <f t="shared" ref="H59:H67" si="23" xml:space="preserve">  IF( $K59 = $A$82, ROUND(  H58  *  SUM(  INDEX( H$83:H$87, MATCH( $E59+1, $A$83:$A$87, 0 ) )  ),  0 ),
    IF( $K59 = $A$74, ROUND(  H57  *  SUM(  INDEX( H$75:H$79, MATCH( $E59+1, $A$75:$A$79, 0 ) )  ),  0 ),
                                             H56 - H57 - H58                     ) )</f>
        <v>15</v>
      </c>
      <c r="I59" s="654">
        <f t="shared" si="22"/>
        <v>0</v>
      </c>
      <c r="J59" s="654">
        <f t="shared" si="22"/>
        <v>0</v>
      </c>
      <c r="K59" s="134" t="str">
        <f xml:space="preserve"> sx!$F$8</f>
        <v>Q^_x</v>
      </c>
      <c r="L59" s="95" t="str">
        <f t="shared" si="17"/>
        <v>Q^_x # 2</v>
      </c>
      <c r="V59" s="653">
        <v>5</v>
      </c>
      <c r="W59" s="653">
        <v>0</v>
      </c>
      <c r="X59" s="655">
        <v>31.52</v>
      </c>
      <c r="Y59" s="655">
        <v>28.46</v>
      </c>
      <c r="Z59" s="655">
        <v>23.14</v>
      </c>
      <c r="AA59" s="655">
        <v>15.02</v>
      </c>
      <c r="AB59" s="655">
        <v>0</v>
      </c>
      <c r="AI59" s="653">
        <v>5</v>
      </c>
      <c r="AJ59" s="653">
        <v>0</v>
      </c>
      <c r="AK59" s="655">
        <v>30.32</v>
      </c>
      <c r="AL59" s="655">
        <v>26.84</v>
      </c>
      <c r="AM59" s="655">
        <v>20.55</v>
      </c>
      <c r="AN59" s="655">
        <v>12.66</v>
      </c>
      <c r="AO59" s="655">
        <v>0</v>
      </c>
    </row>
    <row r="60" spans="1:41" x14ac:dyDescent="0.15">
      <c r="A60" s="548"/>
      <c r="B60" s="650"/>
      <c r="E60" s="134">
        <f t="shared" si="19"/>
        <v>2</v>
      </c>
      <c r="F60" s="654">
        <f t="shared" si="18"/>
        <v>78</v>
      </c>
      <c r="G60" s="654">
        <f t="shared" si="21"/>
        <v>63</v>
      </c>
      <c r="H60" s="654">
        <f t="shared" si="23"/>
        <v>39</v>
      </c>
      <c r="I60" s="654">
        <f t="shared" si="22"/>
        <v>0</v>
      </c>
      <c r="J60" s="654">
        <f t="shared" si="22"/>
        <v>0</v>
      </c>
      <c r="K60" s="134" t="str">
        <f xml:space="preserve"> sx!$G$8</f>
        <v>W^_x</v>
      </c>
      <c r="L60" s="95" t="str">
        <f t="shared" si="17"/>
        <v>W^_x # 2</v>
      </c>
      <c r="V60" s="553"/>
      <c r="W60" s="553"/>
      <c r="X60" s="611">
        <v>0</v>
      </c>
      <c r="Y60" s="611">
        <v>0</v>
      </c>
      <c r="Z60" s="611">
        <v>0</v>
      </c>
      <c r="AA60" s="611">
        <v>0</v>
      </c>
      <c r="AB60" s="611">
        <v>0</v>
      </c>
      <c r="AC60" s="656"/>
      <c r="AD60" s="656"/>
      <c r="AE60" s="656"/>
      <c r="AI60" s="553"/>
      <c r="AJ60" s="553"/>
      <c r="AK60" s="611">
        <v>0</v>
      </c>
      <c r="AL60" s="611">
        <v>0</v>
      </c>
      <c r="AM60" s="611">
        <v>0</v>
      </c>
      <c r="AN60" s="611">
        <v>0</v>
      </c>
      <c r="AO60" s="611">
        <v>0</v>
      </c>
    </row>
    <row r="61" spans="1:41" x14ac:dyDescent="0.15">
      <c r="A61" s="548"/>
      <c r="B61" s="650"/>
      <c r="E61" s="134">
        <f t="shared" si="19"/>
        <v>3</v>
      </c>
      <c r="F61" s="654">
        <f t="shared" si="18"/>
        <v>1106</v>
      </c>
      <c r="G61" s="654">
        <f t="shared" si="21"/>
        <v>799</v>
      </c>
      <c r="H61" s="654">
        <f t="shared" si="23"/>
        <v>446</v>
      </c>
      <c r="I61" s="662">
        <v>50</v>
      </c>
      <c r="J61" s="654">
        <f xml:space="preserve">  IF( $K61 = $A$82, ROUND(  J60  *  SUM(  INDEX( J$83:J$87, MATCH( $E61+1, $A$83:$A$87, 0 ) )  ),  0 ),
    IF( $K61 = $A$74, ROUND(  J59  *  SUM(  INDEX( J$75:J$79, MATCH( $E61+1, $A$75:$A$79, 0 ) )  ),  0 ),
                                             J58 - J59 - J60                     ) )</f>
        <v>0</v>
      </c>
      <c r="K61" s="134" t="str">
        <f xml:space="preserve"> K58</f>
        <v>L^StTag_x,τ</v>
      </c>
      <c r="L61" s="95" t="str">
        <f t="shared" si="17"/>
        <v>L^StTag_x,τ # 3</v>
      </c>
      <c r="AC61" s="657"/>
      <c r="AD61" s="657"/>
      <c r="AE61" s="657"/>
    </row>
    <row r="62" spans="1:41" x14ac:dyDescent="0.15">
      <c r="A62" s="546"/>
      <c r="B62" s="650"/>
      <c r="E62" s="134">
        <f t="shared" si="19"/>
        <v>3</v>
      </c>
      <c r="F62" s="654">
        <f t="shared" si="18"/>
        <v>321</v>
      </c>
      <c r="G62" s="654">
        <f t="shared" si="21"/>
        <v>232</v>
      </c>
      <c r="H62" s="654">
        <f t="shared" si="23"/>
        <v>129</v>
      </c>
      <c r="I62" s="654">
        <f t="shared" ref="I62:I67" si="24" xml:space="preserve">  IF( $K62 = $A$82, ROUND(  I61  *  SUM(  INDEX( I$83:I$87, MATCH( $E62+1, $A$83:$A$87, 0 ) )  ),  0 ),
    IF( $K62 = $A$74, ROUND(  I60  *  SUM(  INDEX( I$75:I$79, MATCH( $E62+1, $A$75:$A$79, 0 ) )  ),  0 ),
                                             I59 - I60 - I61                     ) )</f>
        <v>15</v>
      </c>
      <c r="J62" s="654">
        <f xml:space="preserve">  IF( $K62 = $A$82, ROUND(  J61  *  SUM(  INDEX( J$83:J$87, MATCH( $E62+1, $A$83:$A$87, 0 ) )  ),  0 ),
    IF( $K62 = $A$74, ROUND(  J60  *  SUM(  INDEX( J$75:J$79, MATCH( $E62+1, $A$75:$A$79, 0 ) )  ),  0 ),
                                             J59 - J60 - J61                     ) )</f>
        <v>0</v>
      </c>
      <c r="K62" s="134" t="str">
        <f xml:space="preserve"> sx!$F$8</f>
        <v>Q^_x</v>
      </c>
      <c r="L62" s="95" t="str">
        <f t="shared" si="17"/>
        <v>Q^_x # 3</v>
      </c>
      <c r="AC62" s="657"/>
      <c r="AD62" s="657"/>
      <c r="AE62" s="657"/>
    </row>
    <row r="63" spans="1:41" x14ac:dyDescent="0.15">
      <c r="A63" s="216"/>
      <c r="B63" s="650"/>
      <c r="E63" s="134">
        <f t="shared" si="19"/>
        <v>3</v>
      </c>
      <c r="F63" s="654">
        <f t="shared" si="18"/>
        <v>31</v>
      </c>
      <c r="G63" s="654">
        <f t="shared" si="21"/>
        <v>25</v>
      </c>
      <c r="H63" s="654">
        <f t="shared" si="23"/>
        <v>15</v>
      </c>
      <c r="I63" s="654">
        <f t="shared" si="24"/>
        <v>2</v>
      </c>
      <c r="J63" s="654">
        <f xml:space="preserve">  IF( $K63 = $A$82, ROUND(  J62  *  SUM(  INDEX( J$83:J$87, MATCH( $E63+1, $A$83:$A$87, 0 ) )  ),  0 ),
    IF( $K63 = $A$74, ROUND(  J61  *  SUM(  INDEX( J$75:J$79, MATCH( $E63+1, $A$75:$A$79, 0 ) )  ),  0 ),
                                             J60 - J61 - J62                     ) )</f>
        <v>0</v>
      </c>
      <c r="K63" s="134" t="str">
        <f xml:space="preserve"> sx!$G$8</f>
        <v>W^_x</v>
      </c>
      <c r="L63" s="95" t="str">
        <f t="shared" si="17"/>
        <v>W^_x # 3</v>
      </c>
      <c r="AC63" s="657"/>
      <c r="AD63" s="657"/>
      <c r="AE63" s="657"/>
    </row>
    <row r="64" spans="1:41" x14ac:dyDescent="0.15">
      <c r="A64" s="216"/>
      <c r="B64" s="650"/>
      <c r="E64" s="134">
        <f t="shared" si="19"/>
        <v>4</v>
      </c>
      <c r="F64" s="654">
        <f t="shared" si="18"/>
        <v>754</v>
      </c>
      <c r="G64" s="654">
        <f t="shared" si="21"/>
        <v>542</v>
      </c>
      <c r="H64" s="654">
        <f t="shared" si="23"/>
        <v>302</v>
      </c>
      <c r="I64" s="654">
        <f t="shared" si="24"/>
        <v>33</v>
      </c>
      <c r="J64" s="662">
        <v>10</v>
      </c>
      <c r="K64" s="134" t="str">
        <f xml:space="preserve"> K61</f>
        <v>L^StTag_x,τ</v>
      </c>
      <c r="L64" s="95" t="str">
        <f t="shared" si="17"/>
        <v>L^StTag_x,τ # 4</v>
      </c>
      <c r="AC64" s="657"/>
      <c r="AD64" s="657"/>
      <c r="AE64" s="657"/>
    </row>
    <row r="65" spans="1:31" x14ac:dyDescent="0.15">
      <c r="A65" s="216"/>
      <c r="B65" s="650"/>
      <c r="E65" s="134">
        <f t="shared" si="19"/>
        <v>4</v>
      </c>
      <c r="F65" s="654">
        <f t="shared" si="18"/>
        <v>754</v>
      </c>
      <c r="G65" s="654">
        <f t="shared" si="21"/>
        <v>542</v>
      </c>
      <c r="H65" s="654">
        <f t="shared" si="23"/>
        <v>302</v>
      </c>
      <c r="I65" s="654">
        <f t="shared" si="24"/>
        <v>33</v>
      </c>
      <c r="J65" s="654">
        <f xml:space="preserve">  IF( $K65 = $A$82, ROUND(  J64  *  SUM(  INDEX( J$83:J$87, MATCH( $E65+1, $A$83:$A$87, 0 ) )  ),  0 ),
    IF( $K65 = $A$74, ROUND(  J63  *  SUM(  INDEX( J$75:J$79, MATCH( $E65+1, $A$75:$A$79, 0 ) )  ),  0 ),
                                             J62 - J63 - J64                     ) )</f>
        <v>10</v>
      </c>
      <c r="K65" s="134" t="str">
        <f xml:space="preserve"> sx!$F$8</f>
        <v>Q^_x</v>
      </c>
      <c r="L65" s="95" t="str">
        <f t="shared" si="17"/>
        <v>Q^_x # 4</v>
      </c>
      <c r="AC65" s="657"/>
      <c r="AD65" s="657"/>
      <c r="AE65" s="657"/>
    </row>
    <row r="66" spans="1:31" x14ac:dyDescent="0.15">
      <c r="A66" s="216"/>
      <c r="B66" s="650"/>
      <c r="E66" s="134">
        <f t="shared" si="19"/>
        <v>4</v>
      </c>
      <c r="F66" s="654">
        <f t="shared" si="18"/>
        <v>0</v>
      </c>
      <c r="G66" s="654">
        <f t="shared" si="21"/>
        <v>0</v>
      </c>
      <c r="H66" s="654">
        <f t="shared" si="23"/>
        <v>0</v>
      </c>
      <c r="I66" s="654">
        <f t="shared" si="24"/>
        <v>0</v>
      </c>
      <c r="J66" s="654">
        <f xml:space="preserve">  IF( $K66 = $A$82, ROUND(  J65  *  SUM(  INDEX( J$83:J$87, MATCH( $E66+1, $A$83:$A$87, 0 ) )  ),  0 ),
    IF( $K66 = $A$74, ROUND(  J64  *  SUM(  INDEX( J$75:J$79, MATCH( $E66+1, $A$75:$A$79, 0 ) )  ),  0 ),
                                             J63 - J64 - J65                     ) )</f>
        <v>0</v>
      </c>
      <c r="K66" s="134" t="str">
        <f xml:space="preserve"> sx!$G$8</f>
        <v>W^_x</v>
      </c>
      <c r="L66" s="95" t="str">
        <f t="shared" si="17"/>
        <v>W^_x # 4</v>
      </c>
      <c r="AC66" s="608"/>
      <c r="AD66" s="608"/>
      <c r="AE66" s="608"/>
    </row>
    <row r="67" spans="1:31" x14ac:dyDescent="0.15">
      <c r="A67" s="216"/>
      <c r="B67" s="650"/>
      <c r="E67" s="134">
        <f t="shared" si="19"/>
        <v>5</v>
      </c>
      <c r="F67" s="654">
        <f t="shared" si="18"/>
        <v>0</v>
      </c>
      <c r="G67" s="654">
        <f t="shared" si="21"/>
        <v>0</v>
      </c>
      <c r="H67" s="654">
        <f t="shared" si="23"/>
        <v>0</v>
      </c>
      <c r="I67" s="654">
        <f t="shared" si="24"/>
        <v>0</v>
      </c>
      <c r="J67" s="654">
        <f xml:space="preserve">  IF( $K67 = $A$82, ROUND(  J66  *  SUM(  INDEX( J$83:J$87, MATCH( $E67+1, $A$83:$A$87, 0 ) )  ),  0 ),
    IF( $K67 = $A$74, ROUND(  J65  *  SUM(  INDEX( J$75:J$79, MATCH( $E67+1, $A$75:$A$79, 0 ) )  ),  0 ),
                                             J64 - J65 - J66                     ) )</f>
        <v>0</v>
      </c>
      <c r="K67" s="134" t="str">
        <f xml:space="preserve"> K64</f>
        <v>L^StTag_x,τ</v>
      </c>
      <c r="L67" s="95" t="str">
        <f t="shared" si="17"/>
        <v>L^StTag_x,τ # 5</v>
      </c>
    </row>
    <row r="68" spans="1:31" x14ac:dyDescent="0.15">
      <c r="A68" s="216"/>
      <c r="B68" s="216"/>
      <c r="F68" s="663"/>
      <c r="G68" s="663"/>
      <c r="H68" s="663"/>
      <c r="I68" s="223"/>
      <c r="J68" s="223"/>
    </row>
    <row r="69" spans="1:31" x14ac:dyDescent="0.15">
      <c r="F69" s="658"/>
      <c r="G69" s="658"/>
      <c r="H69" s="658"/>
      <c r="I69" s="658"/>
      <c r="J69" s="220"/>
    </row>
    <row r="70" spans="1:31" x14ac:dyDescent="0.15">
      <c r="F70" s="659"/>
      <c r="G70" s="659"/>
      <c r="H70" s="659"/>
      <c r="I70" s="659"/>
      <c r="J70" s="659"/>
    </row>
    <row r="71" spans="1:31" x14ac:dyDescent="0.15">
      <c r="D71" s="150" t="str">
        <f xml:space="preserve"> "techn. zur Berücks. von " &amp; $E$9</f>
        <v>techn. zur Berücks. von err. Alter</v>
      </c>
      <c r="E71" s="150"/>
      <c r="F71" s="134">
        <v>0</v>
      </c>
      <c r="G71" s="134">
        <v>1</v>
      </c>
      <c r="H71" s="134">
        <v>2</v>
      </c>
      <c r="I71" s="134">
        <v>3</v>
      </c>
      <c r="J71" s="134">
        <v>4</v>
      </c>
    </row>
    <row r="74" spans="1:31" x14ac:dyDescent="0.15">
      <c r="A74" s="660" t="str">
        <f xml:space="preserve"> sx!$G$8</f>
        <v>W^_x</v>
      </c>
      <c r="B74" s="549" t="str">
        <f xml:space="preserve"> sx!$M$8</f>
        <v>w_x</v>
      </c>
    </row>
    <row r="75" spans="1:31" x14ac:dyDescent="0.15">
      <c r="A75" s="627">
        <f xml:space="preserve"> sx!C10</f>
        <v>1</v>
      </c>
      <c r="B75" s="549">
        <f xml:space="preserve"> sx!M10</f>
        <v>0.08</v>
      </c>
      <c r="C75" s="715">
        <f xml:space="preserve"> MIN( 1-C83, ROUND( (B75 + 0.001 ) * 0.9, $A$4 ) ) + 0.01</f>
        <v>8.2900000000000001E-2</v>
      </c>
      <c r="D75" s="550">
        <v>-2</v>
      </c>
      <c r="E75" s="550">
        <v>-0.95</v>
      </c>
      <c r="F75" s="661">
        <f t="shared" ref="F75:J79" si="25" xml:space="preserve">  IF(   F$71&gt;=$A75,  LEER,  ROUND(  MAX( 0, MIN( 1, $C75 * $E75^($D75*(F$71)) ) ),  $A$4  )     )</f>
        <v>8.2900000000000001E-2</v>
      </c>
      <c r="G75" s="661" t="str">
        <f t="shared" si="25"/>
        <v>.</v>
      </c>
      <c r="H75" s="661" t="str">
        <f t="shared" si="25"/>
        <v>.</v>
      </c>
      <c r="I75" s="661" t="str">
        <f t="shared" si="25"/>
        <v>.</v>
      </c>
      <c r="J75" s="661" t="str">
        <f t="shared" si="25"/>
        <v>.</v>
      </c>
    </row>
    <row r="76" spans="1:31" x14ac:dyDescent="0.15">
      <c r="A76" s="627">
        <f xml:space="preserve"> sx!C11</f>
        <v>2</v>
      </c>
      <c r="B76" s="549">
        <f xml:space="preserve"> sx!M11</f>
        <v>0.08</v>
      </c>
      <c r="C76" s="543">
        <f xml:space="preserve"> MIN( 1-C84, ROUND( (B76 + 0.001 ) * 0.9, $A$4 ) )</f>
        <v>7.2900000000000006E-2</v>
      </c>
      <c r="D76" s="134">
        <f t="shared" ref="D76:E79" si="26" xml:space="preserve"> D75</f>
        <v>-2</v>
      </c>
      <c r="E76" s="134">
        <f t="shared" si="26"/>
        <v>-0.95</v>
      </c>
      <c r="F76" s="661">
        <f t="shared" si="25"/>
        <v>7.2900000000000006E-2</v>
      </c>
      <c r="G76" s="661">
        <f t="shared" si="25"/>
        <v>8.0799999999999997E-2</v>
      </c>
      <c r="H76" s="661" t="str">
        <f t="shared" si="25"/>
        <v>.</v>
      </c>
      <c r="I76" s="661" t="str">
        <f t="shared" si="25"/>
        <v>.</v>
      </c>
      <c r="J76" s="661" t="str">
        <f t="shared" si="25"/>
        <v>.</v>
      </c>
    </row>
    <row r="77" spans="1:31" x14ac:dyDescent="0.15">
      <c r="A77" s="627">
        <f xml:space="preserve"> sx!C12</f>
        <v>3</v>
      </c>
      <c r="B77" s="549">
        <f xml:space="preserve"> sx!M12</f>
        <v>7.0000000000000007E-2</v>
      </c>
      <c r="C77" s="543">
        <f xml:space="preserve"> MIN( 1-C85, ROUND( (B77 + 0.001 ) * 0.9, $A$4 ) )</f>
        <v>6.3899999999999998E-2</v>
      </c>
      <c r="D77" s="134">
        <f t="shared" si="26"/>
        <v>-2</v>
      </c>
      <c r="E77" s="134">
        <f t="shared" si="26"/>
        <v>-0.95</v>
      </c>
      <c r="F77" s="661">
        <f t="shared" si="25"/>
        <v>6.3899999999999998E-2</v>
      </c>
      <c r="G77" s="661">
        <f t="shared" si="25"/>
        <v>7.0800000000000002E-2</v>
      </c>
      <c r="H77" s="661">
        <f t="shared" si="25"/>
        <v>7.85E-2</v>
      </c>
      <c r="I77" s="661" t="str">
        <f t="shared" si="25"/>
        <v>.</v>
      </c>
      <c r="J77" s="661" t="str">
        <f t="shared" si="25"/>
        <v>.</v>
      </c>
    </row>
    <row r="78" spans="1:31" x14ac:dyDescent="0.15">
      <c r="A78" s="627">
        <f xml:space="preserve"> sx!C13</f>
        <v>4</v>
      </c>
      <c r="B78" s="549">
        <f xml:space="preserve"> sx!M13</f>
        <v>0.03</v>
      </c>
      <c r="C78" s="543">
        <f xml:space="preserve"> MIN( 1-C86, ROUND( (B78 + 0.001 ) * 0.9, $A$4 ) )</f>
        <v>2.7900000000000001E-2</v>
      </c>
      <c r="D78" s="134">
        <f t="shared" si="26"/>
        <v>-2</v>
      </c>
      <c r="E78" s="134">
        <f t="shared" si="26"/>
        <v>-0.95</v>
      </c>
      <c r="F78" s="661">
        <f t="shared" si="25"/>
        <v>2.7900000000000001E-2</v>
      </c>
      <c r="G78" s="661">
        <f t="shared" si="25"/>
        <v>3.09E-2</v>
      </c>
      <c r="H78" s="661">
        <f t="shared" si="25"/>
        <v>3.4299999999999997E-2</v>
      </c>
      <c r="I78" s="661">
        <f t="shared" si="25"/>
        <v>3.7999999999999999E-2</v>
      </c>
      <c r="J78" s="661" t="str">
        <f t="shared" si="25"/>
        <v>.</v>
      </c>
    </row>
    <row r="79" spans="1:31" x14ac:dyDescent="0.15">
      <c r="A79" s="627">
        <f xml:space="preserve"> sx!C14</f>
        <v>5</v>
      </c>
      <c r="B79" s="549">
        <f xml:space="preserve"> sx!M14</f>
        <v>0</v>
      </c>
      <c r="C79" s="543">
        <f xml:space="preserve"> MIN( 1-C87, ROUND( (B79 + 0.001 ) * 0.9, $A$4 ) )</f>
        <v>0</v>
      </c>
      <c r="D79" s="134">
        <f t="shared" si="26"/>
        <v>-2</v>
      </c>
      <c r="E79" s="134">
        <f t="shared" si="26"/>
        <v>-0.95</v>
      </c>
      <c r="F79" s="661">
        <f t="shared" si="25"/>
        <v>0</v>
      </c>
      <c r="G79" s="661">
        <f t="shared" si="25"/>
        <v>0</v>
      </c>
      <c r="H79" s="661">
        <f t="shared" si="25"/>
        <v>0</v>
      </c>
      <c r="I79" s="661">
        <f t="shared" si="25"/>
        <v>0</v>
      </c>
      <c r="J79" s="661">
        <f t="shared" si="25"/>
        <v>0</v>
      </c>
    </row>
    <row r="82" spans="1:10" x14ac:dyDescent="0.15">
      <c r="A82" s="660" t="str">
        <f xml:space="preserve"> sx!$F$8</f>
        <v>Q^_x</v>
      </c>
      <c r="B82" s="549" t="str">
        <f xml:space="preserve"> sx!L8</f>
        <v>q_x</v>
      </c>
    </row>
    <row r="83" spans="1:10" x14ac:dyDescent="0.15">
      <c r="A83" s="627">
        <f xml:space="preserve"> sx!C10</f>
        <v>1</v>
      </c>
      <c r="B83" s="549">
        <f xml:space="preserve"> sx!L10</f>
        <v>0.01</v>
      </c>
      <c r="C83" s="543">
        <f xml:space="preserve"> B83</f>
        <v>0.01</v>
      </c>
      <c r="D83" s="550">
        <v>0</v>
      </c>
      <c r="E83" s="550">
        <v>1</v>
      </c>
      <c r="F83" s="661">
        <f t="shared" ref="F83:J87" si="27" xml:space="preserve">  IF(   F$71&gt;=$A83,  LEER,  ROUND(  MAX( 0, MIN( 1, $C83 * $E83^($D83*(F$71)) ) ),  $A$4  )     )</f>
        <v>0.01</v>
      </c>
      <c r="G83" s="661" t="str">
        <f t="shared" si="27"/>
        <v>.</v>
      </c>
      <c r="H83" s="661" t="str">
        <f t="shared" si="27"/>
        <v>.</v>
      </c>
      <c r="I83" s="661" t="str">
        <f t="shared" si="27"/>
        <v>.</v>
      </c>
      <c r="J83" s="661" t="str">
        <f t="shared" si="27"/>
        <v>.</v>
      </c>
    </row>
    <row r="84" spans="1:10" x14ac:dyDescent="0.15">
      <c r="A84" s="627">
        <f xml:space="preserve"> sx!C11</f>
        <v>2</v>
      </c>
      <c r="B84" s="549">
        <f xml:space="preserve"> sx!L11</f>
        <v>0.03</v>
      </c>
      <c r="C84" s="543">
        <f xml:space="preserve"> B84</f>
        <v>0.03</v>
      </c>
      <c r="D84" s="134">
        <f t="shared" ref="D84:E87" si="28" xml:space="preserve"> D83</f>
        <v>0</v>
      </c>
      <c r="E84" s="134">
        <f t="shared" si="28"/>
        <v>1</v>
      </c>
      <c r="F84" s="661">
        <f t="shared" si="27"/>
        <v>0.03</v>
      </c>
      <c r="G84" s="661">
        <f t="shared" si="27"/>
        <v>0.03</v>
      </c>
      <c r="H84" s="661" t="str">
        <f t="shared" si="27"/>
        <v>.</v>
      </c>
      <c r="I84" s="661" t="str">
        <f t="shared" si="27"/>
        <v>.</v>
      </c>
      <c r="J84" s="661" t="str">
        <f t="shared" si="27"/>
        <v>.</v>
      </c>
    </row>
    <row r="85" spans="1:10" x14ac:dyDescent="0.15">
      <c r="A85" s="627">
        <f xml:space="preserve"> sx!C12</f>
        <v>3</v>
      </c>
      <c r="B85" s="549">
        <f xml:space="preserve"> sx!L12</f>
        <v>0.03</v>
      </c>
      <c r="C85" s="543">
        <f xml:space="preserve"> B85</f>
        <v>0.03</v>
      </c>
      <c r="D85" s="134">
        <f t="shared" si="28"/>
        <v>0</v>
      </c>
      <c r="E85" s="134">
        <f t="shared" si="28"/>
        <v>1</v>
      </c>
      <c r="F85" s="661">
        <f t="shared" si="27"/>
        <v>0.03</v>
      </c>
      <c r="G85" s="661">
        <f t="shared" si="27"/>
        <v>0.03</v>
      </c>
      <c r="H85" s="661">
        <f t="shared" si="27"/>
        <v>0.03</v>
      </c>
      <c r="I85" s="661" t="str">
        <f t="shared" si="27"/>
        <v>.</v>
      </c>
      <c r="J85" s="661" t="str">
        <f t="shared" si="27"/>
        <v>.</v>
      </c>
    </row>
    <row r="86" spans="1:10" x14ac:dyDescent="0.15">
      <c r="A86" s="627">
        <f xml:space="preserve"> sx!C13</f>
        <v>4</v>
      </c>
      <c r="B86" s="549">
        <f xml:space="preserve"> sx!L13</f>
        <v>0.28999999999999998</v>
      </c>
      <c r="C86" s="543">
        <f xml:space="preserve"> B86</f>
        <v>0.28999999999999998</v>
      </c>
      <c r="D86" s="134">
        <f t="shared" si="28"/>
        <v>0</v>
      </c>
      <c r="E86" s="134">
        <f t="shared" si="28"/>
        <v>1</v>
      </c>
      <c r="F86" s="661">
        <f t="shared" si="27"/>
        <v>0.28999999999999998</v>
      </c>
      <c r="G86" s="661">
        <f t="shared" si="27"/>
        <v>0.28999999999999998</v>
      </c>
      <c r="H86" s="661">
        <f t="shared" si="27"/>
        <v>0.28999999999999998</v>
      </c>
      <c r="I86" s="661">
        <f t="shared" si="27"/>
        <v>0.28999999999999998</v>
      </c>
      <c r="J86" s="661" t="str">
        <f t="shared" si="27"/>
        <v>.</v>
      </c>
    </row>
    <row r="87" spans="1:10" x14ac:dyDescent="0.15">
      <c r="A87" s="627">
        <f xml:space="preserve"> sx!C14</f>
        <v>5</v>
      </c>
      <c r="B87" s="549">
        <f xml:space="preserve"> sx!L14</f>
        <v>1</v>
      </c>
      <c r="C87" s="543">
        <f xml:space="preserve"> B87</f>
        <v>1</v>
      </c>
      <c r="D87" s="134">
        <f t="shared" si="28"/>
        <v>0</v>
      </c>
      <c r="E87" s="134">
        <f t="shared" si="28"/>
        <v>1</v>
      </c>
      <c r="F87" s="661">
        <f t="shared" si="27"/>
        <v>1</v>
      </c>
      <c r="G87" s="661">
        <f t="shared" si="27"/>
        <v>1</v>
      </c>
      <c r="H87" s="661">
        <f t="shared" si="27"/>
        <v>1</v>
      </c>
      <c r="I87" s="661">
        <f t="shared" si="27"/>
        <v>1</v>
      </c>
      <c r="J87" s="661">
        <f t="shared" si="27"/>
        <v>1</v>
      </c>
    </row>
  </sheetData>
  <mergeCells count="19">
    <mergeCell ref="AK25:AO25"/>
    <mergeCell ref="AK8:AP8"/>
    <mergeCell ref="AK11:AP11"/>
    <mergeCell ref="AK18:AP18"/>
    <mergeCell ref="X8:AC8"/>
    <mergeCell ref="X32:AC32"/>
    <mergeCell ref="F18:K18"/>
    <mergeCell ref="O11:T11"/>
    <mergeCell ref="O18:T18"/>
    <mergeCell ref="X11:AC11"/>
    <mergeCell ref="X18:AC18"/>
    <mergeCell ref="O25:S25"/>
    <mergeCell ref="X25:AB25"/>
    <mergeCell ref="F8:K8"/>
    <mergeCell ref="F11:K11"/>
    <mergeCell ref="F25:J25"/>
    <mergeCell ref="F32:K32"/>
    <mergeCell ref="O32:T32"/>
    <mergeCell ref="O8:T8"/>
  </mergeCells>
  <conditionalFormatting sqref="BI16">
    <cfRule type="cellIs" dxfId="24" priority="42" operator="equal">
      <formula>TRUE</formula>
    </cfRule>
  </conditionalFormatting>
  <conditionalFormatting sqref="BI16">
    <cfRule type="cellIs" dxfId="23" priority="41" operator="equal">
      <formula>FALSE</formula>
    </cfRule>
  </conditionalFormatting>
  <conditionalFormatting sqref="BI12:BI16">
    <cfRule type="cellIs" dxfId="22" priority="40" operator="equal">
      <formula>TRUE</formula>
    </cfRule>
  </conditionalFormatting>
  <conditionalFormatting sqref="BI12:BI16">
    <cfRule type="cellIs" dxfId="21" priority="39" operator="equal">
      <formula>FALSE</formula>
    </cfRule>
  </conditionalFormatting>
  <conditionalFormatting sqref="BA18">
    <cfRule type="cellIs" dxfId="20" priority="24" operator="equal">
      <formula>TRUE</formula>
    </cfRule>
  </conditionalFormatting>
  <conditionalFormatting sqref="BA18">
    <cfRule type="cellIs" dxfId="19" priority="23" operator="equal">
      <formula>FALSE</formula>
    </cfRule>
  </conditionalFormatting>
  <conditionalFormatting sqref="BE18">
    <cfRule type="cellIs" dxfId="18" priority="20" operator="equal">
      <formula>TRUE</formula>
    </cfRule>
  </conditionalFormatting>
  <conditionalFormatting sqref="BE18">
    <cfRule type="cellIs" dxfId="17" priority="19" operator="equal">
      <formula>FALSE</formula>
    </cfRule>
  </conditionalFormatting>
  <conditionalFormatting sqref="BI18">
    <cfRule type="cellIs" dxfId="16" priority="16" operator="equal">
      <formula>TRUE</formula>
    </cfRule>
  </conditionalFormatting>
  <conditionalFormatting sqref="BI18">
    <cfRule type="cellIs" dxfId="15" priority="15" operator="equal">
      <formula>FALSE</formula>
    </cfRule>
  </conditionalFormatting>
  <conditionalFormatting sqref="BA19">
    <cfRule type="cellIs" dxfId="14" priority="14" operator="equal">
      <formula>TRUE</formula>
    </cfRule>
  </conditionalFormatting>
  <conditionalFormatting sqref="BA19">
    <cfRule type="cellIs" dxfId="13" priority="13" operator="equal">
      <formula>FALSE</formula>
    </cfRule>
  </conditionalFormatting>
  <conditionalFormatting sqref="BE19">
    <cfRule type="cellIs" dxfId="12" priority="12" operator="equal">
      <formula>TRUE</formula>
    </cfRule>
  </conditionalFormatting>
  <conditionalFormatting sqref="BE19">
    <cfRule type="cellIs" dxfId="11" priority="11" operator="equal">
      <formula>FALSE</formula>
    </cfRule>
  </conditionalFormatting>
  <conditionalFormatting sqref="BI19">
    <cfRule type="cellIs" dxfId="10" priority="10" operator="equal">
      <formula>TRUE</formula>
    </cfRule>
  </conditionalFormatting>
  <conditionalFormatting sqref="BI19">
    <cfRule type="cellIs" dxfId="9" priority="9" operator="equal">
      <formula>FALSE</formula>
    </cfRule>
  </conditionalFormatting>
  <conditionalFormatting sqref="BA16">
    <cfRule type="cellIs" dxfId="8" priority="8" operator="equal">
      <formula>TRUE</formula>
    </cfRule>
  </conditionalFormatting>
  <conditionalFormatting sqref="BA16">
    <cfRule type="cellIs" dxfId="7" priority="7" operator="equal">
      <formula>FALSE</formula>
    </cfRule>
  </conditionalFormatting>
  <conditionalFormatting sqref="BA12:BA16">
    <cfRule type="cellIs" dxfId="6" priority="6" operator="equal">
      <formula>TRUE</formula>
    </cfRule>
  </conditionalFormatting>
  <conditionalFormatting sqref="BA12:BA16">
    <cfRule type="cellIs" dxfId="5" priority="5" operator="equal">
      <formula>FALSE</formula>
    </cfRule>
  </conditionalFormatting>
  <conditionalFormatting sqref="BE16">
    <cfRule type="cellIs" dxfId="4" priority="4" operator="equal">
      <formula>TRUE</formula>
    </cfRule>
  </conditionalFormatting>
  <conditionalFormatting sqref="BE16">
    <cfRule type="cellIs" dxfId="3" priority="3" operator="equal">
      <formula>FALSE</formula>
    </cfRule>
  </conditionalFormatting>
  <conditionalFormatting sqref="BE12:BE16">
    <cfRule type="cellIs" dxfId="2" priority="2" operator="equal">
      <formula>TRUE</formula>
    </cfRule>
  </conditionalFormatting>
  <conditionalFormatting sqref="BE12:BE16">
    <cfRule type="cellIs" dxfId="1" priority="1" operator="equal">
      <formula>FALSE</formula>
    </cfRule>
  </conditionalFormatting>
  <pageMargins left="0.7" right="0.7" top="0.78740157499999996" bottom="0.78740157499999996" header="0.3" footer="0.3"/>
  <pageSetup paperSize="9" orientation="portrait" horizontalDpi="300" verticalDpi="300"/>
  <ignoredErrors>
    <ignoredError sqref="BF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1"/>
  <sheetViews>
    <sheetView showGridLines="0" topLeftCell="C1" workbookViewId="0">
      <selection activeCell="I14" sqref="I14"/>
    </sheetView>
  </sheetViews>
  <sheetFormatPr baseColWidth="10" defaultRowHeight="13" outlineLevelCol="1" x14ac:dyDescent="0.15"/>
  <cols>
    <col min="1" max="2" width="0" style="2" hidden="1" customWidth="1" outlineLevel="1"/>
    <col min="3" max="3" width="10.83203125" style="2" collapsed="1"/>
    <col min="4" max="4" width="10.83203125" style="2"/>
    <col min="5" max="5" width="17.83203125" style="2" bestFit="1" customWidth="1"/>
    <col min="6" max="16384" width="10.83203125" style="2"/>
  </cols>
  <sheetData>
    <row r="1" spans="1:30" x14ac:dyDescent="0.15">
      <c r="A1" s="2" t="s">
        <v>76</v>
      </c>
      <c r="F1" s="668">
        <v>-3</v>
      </c>
      <c r="G1" s="668">
        <v>-2</v>
      </c>
      <c r="H1" s="668">
        <v>-1</v>
      </c>
      <c r="I1" s="668">
        <v>0</v>
      </c>
      <c r="J1" s="668">
        <v>1</v>
      </c>
      <c r="V1" s="669">
        <f xml:space="preserve"> sx!O3</f>
        <v>0</v>
      </c>
      <c r="X1" s="669">
        <f xml:space="preserve"> Bx!E4</f>
        <v>2</v>
      </c>
      <c r="Y1" s="669">
        <f xml:space="preserve"> Bx!L7</f>
        <v>2</v>
      </c>
      <c r="Z1" s="669">
        <f xml:space="preserve"> Bx!M7</f>
        <v>2</v>
      </c>
      <c r="AA1" s="669">
        <f xml:space="preserve"> Bx!N7</f>
        <v>2</v>
      </c>
      <c r="AC1" s="3">
        <f xml:space="preserve"> $A$40</f>
        <v>4</v>
      </c>
      <c r="AD1" s="3">
        <f xml:space="preserve"> $A$40</f>
        <v>4</v>
      </c>
    </row>
    <row r="2" spans="1:30" x14ac:dyDescent="0.15">
      <c r="A2" s="2" t="str">
        <f xml:space="preserve"> EING!B3</f>
        <v>Rundungsstellen</v>
      </c>
    </row>
    <row r="3" spans="1:30" x14ac:dyDescent="0.15">
      <c r="A3" s="2" t="s">
        <v>79</v>
      </c>
    </row>
    <row r="4" spans="1:30" x14ac:dyDescent="0.15">
      <c r="D4" s="112" t="s">
        <v>152</v>
      </c>
      <c r="E4" s="113"/>
      <c r="F4" s="113"/>
      <c r="G4" s="113"/>
      <c r="H4" s="113"/>
      <c r="I4" s="113"/>
      <c r="J4" s="113"/>
      <c r="K4" s="113"/>
      <c r="L4" s="113"/>
      <c r="M4" s="128"/>
      <c r="S4" s="250" t="str">
        <f xml:space="preserve"> EING!B8</f>
        <v>x</v>
      </c>
      <c r="T4" s="672" t="str">
        <f xml:space="preserve"> Bx!D8</f>
        <v>v^x</v>
      </c>
      <c r="U4" s="21" t="s">
        <v>159</v>
      </c>
      <c r="V4" s="21" t="s">
        <v>154</v>
      </c>
      <c r="W4" s="21" t="str">
        <f xml:space="preserve"> Kx!BC8</f>
        <v>K_x</v>
      </c>
      <c r="X4" s="21" t="s">
        <v>155</v>
      </c>
      <c r="Y4" s="21" t="s">
        <v>156</v>
      </c>
      <c r="Z4" s="21" t="s">
        <v>157</v>
      </c>
      <c r="AA4" s="21" t="s">
        <v>158</v>
      </c>
      <c r="AB4" s="9"/>
      <c r="AC4" s="1017" t="s">
        <v>293</v>
      </c>
      <c r="AD4" s="1018"/>
    </row>
    <row r="5" spans="1:30" x14ac:dyDescent="0.15">
      <c r="D5" s="97"/>
      <c r="E5" s="96"/>
      <c r="F5" s="96"/>
      <c r="G5" s="96"/>
      <c r="H5" s="96"/>
      <c r="I5" s="96"/>
      <c r="J5" s="96"/>
      <c r="K5" s="96"/>
      <c r="L5" s="96"/>
      <c r="M5" s="99"/>
      <c r="S5" s="11"/>
      <c r="T5" s="674"/>
      <c r="U5" s="12" t="s">
        <v>169</v>
      </c>
      <c r="V5" s="25"/>
      <c r="W5" s="12"/>
      <c r="X5" s="12"/>
      <c r="Y5" s="12"/>
      <c r="Z5" s="12"/>
      <c r="AA5" s="12"/>
      <c r="AB5" s="12"/>
      <c r="AC5" s="1019"/>
      <c r="AD5" s="1020"/>
    </row>
    <row r="6" spans="1:30" x14ac:dyDescent="0.15">
      <c r="D6" s="110" t="s">
        <v>150</v>
      </c>
      <c r="E6" s="104"/>
      <c r="F6" s="130" t="str">
        <f xml:space="preserve"> "t0" &amp; IF( F1&lt;&gt;0, TEXT(F1,"+0;-0;0"), "" )</f>
        <v>t0-3</v>
      </c>
      <c r="G6" s="130" t="str">
        <f xml:space="preserve"> "t0" &amp; IF( G1&lt;&gt;0, TEXT(G1,"+0;-0;0"), "" )</f>
        <v>t0-2</v>
      </c>
      <c r="H6" s="130" t="str">
        <f xml:space="preserve"> "t0" &amp; IF( H1&lt;&gt;0, TEXT(H1,"+0;-0;0"), "" )</f>
        <v>t0-1</v>
      </c>
      <c r="I6" s="130" t="str">
        <f xml:space="preserve"> "t0" &amp; IF( I1&lt;&gt;0, TEXT(I1,"+0;-0;0"), "" )</f>
        <v>t0</v>
      </c>
      <c r="J6" s="130" t="str">
        <f xml:space="preserve"> "t0" &amp; IF( J1&lt;&gt;0, TEXT(J1,"+0;-0;0"), "" )</f>
        <v>t0+1</v>
      </c>
      <c r="K6" s="104"/>
      <c r="L6" s="104"/>
      <c r="M6" s="111"/>
      <c r="S6" s="11"/>
      <c r="T6" s="12"/>
      <c r="U6" s="12"/>
      <c r="V6" s="12"/>
      <c r="W6" s="12"/>
      <c r="X6" s="12"/>
      <c r="Y6" s="12"/>
      <c r="Z6" s="12"/>
      <c r="AA6" s="12"/>
      <c r="AB6" s="12"/>
      <c r="AC6" s="1019"/>
      <c r="AD6" s="1020"/>
    </row>
    <row r="7" spans="1:30" x14ac:dyDescent="0.15">
      <c r="D7" s="97"/>
      <c r="E7" s="96"/>
      <c r="F7" s="96"/>
      <c r="G7" s="96"/>
      <c r="H7" s="96"/>
      <c r="I7" s="96"/>
      <c r="J7" s="96"/>
      <c r="K7" s="96"/>
      <c r="L7" s="96"/>
      <c r="M7" s="99"/>
      <c r="S7" s="11">
        <f xml:space="preserve"> EING!B10</f>
        <v>1</v>
      </c>
      <c r="T7" s="675">
        <f xml:space="preserve"> Bx!D10</f>
        <v>0.97560000000000002</v>
      </c>
      <c r="U7" s="676">
        <v>0.01</v>
      </c>
      <c r="V7" s="670">
        <v>100</v>
      </c>
      <c r="W7" s="677">
        <f xml:space="preserve"> Kx!BC10</f>
        <v>10</v>
      </c>
      <c r="X7" s="26">
        <f xml:space="preserve"> ROUND( T7 * V7, X$1 )</f>
        <v>97.56</v>
      </c>
      <c r="Y7" s="26">
        <f xml:space="preserve"> ROUND( W7 * X7, Y$1 )</f>
        <v>975.6</v>
      </c>
      <c r="Z7" s="26">
        <f xml:space="preserve"> ROUND( SUM( Y7:Y$11 ), Z$1 )</f>
        <v>8535.2000000000007</v>
      </c>
      <c r="AA7" s="26">
        <f xml:space="preserve"> ROUND( Z7 / X7, AA$1 )</f>
        <v>87.49</v>
      </c>
      <c r="AB7" s="12"/>
      <c r="AC7" s="1019"/>
      <c r="AD7" s="1020"/>
    </row>
    <row r="8" spans="1:30" x14ac:dyDescent="0.15">
      <c r="D8" s="97"/>
      <c r="E8" s="96"/>
      <c r="F8" s="96"/>
      <c r="G8" s="96"/>
      <c r="H8" s="96"/>
      <c r="I8" s="96"/>
      <c r="J8" s="96"/>
      <c r="K8" s="96"/>
      <c r="L8" s="96"/>
      <c r="M8" s="99"/>
      <c r="S8" s="11">
        <f xml:space="preserve"> EING!B11</f>
        <v>2</v>
      </c>
      <c r="T8" s="675">
        <f xml:space="preserve"> Bx!D11</f>
        <v>0.95179999999999998</v>
      </c>
      <c r="U8" s="676">
        <v>0.02</v>
      </c>
      <c r="V8" s="678">
        <f xml:space="preserve"> ROUND( V7 * ( 1 - U7), V$1 )</f>
        <v>99</v>
      </c>
      <c r="W8" s="677">
        <f xml:space="preserve"> Kx!BC11</f>
        <v>10</v>
      </c>
      <c r="X8" s="26">
        <f xml:space="preserve"> ROUND( T8 * V8, X$1 )</f>
        <v>94.23</v>
      </c>
      <c r="Y8" s="26">
        <f xml:space="preserve"> ROUND( W8 * X8, Y$1 )</f>
        <v>942.3</v>
      </c>
      <c r="Z8" s="26">
        <f xml:space="preserve"> ROUND( SUM( Y8:Y$11 ), Z$1 )</f>
        <v>7559.6</v>
      </c>
      <c r="AA8" s="26">
        <f xml:space="preserve"> ROUND( Z8 / X8, AA$1 )</f>
        <v>80.22</v>
      </c>
      <c r="AB8" s="12"/>
      <c r="AC8" s="1019"/>
      <c r="AD8" s="1020"/>
    </row>
    <row r="9" spans="1:30" x14ac:dyDescent="0.15">
      <c r="D9" s="97"/>
      <c r="E9" s="99" t="s">
        <v>147</v>
      </c>
      <c r="F9" s="396">
        <f xml:space="preserve"> F12 + F10 - F11</f>
        <v>6350</v>
      </c>
      <c r="G9" s="396">
        <f xml:space="preserve"> G12 + G10 - G11</f>
        <v>6750</v>
      </c>
      <c r="H9" s="396">
        <f xml:space="preserve"> H12 + H10 - H11</f>
        <v>6800</v>
      </c>
      <c r="I9" s="96"/>
      <c r="J9" s="96"/>
      <c r="K9" s="96"/>
      <c r="L9" s="96"/>
      <c r="M9" s="99"/>
      <c r="S9" s="11">
        <f xml:space="preserve"> EING!B12</f>
        <v>3</v>
      </c>
      <c r="T9" s="675">
        <f xml:space="preserve"> Bx!D12</f>
        <v>0.92859999999999998</v>
      </c>
      <c r="U9" s="676">
        <v>0.03</v>
      </c>
      <c r="V9" s="678">
        <f xml:space="preserve"> ROUND( V8 * ( 1 - U8), V$1 )</f>
        <v>97</v>
      </c>
      <c r="W9" s="677">
        <f xml:space="preserve"> Kx!BC12</f>
        <v>15</v>
      </c>
      <c r="X9" s="26">
        <f xml:space="preserve"> ROUND( T9 * V9, X$1 )</f>
        <v>90.07</v>
      </c>
      <c r="Y9" s="26">
        <f xml:space="preserve"> ROUND( W9 * X9, Y$1 )</f>
        <v>1351.05</v>
      </c>
      <c r="Z9" s="26">
        <f xml:space="preserve"> ROUND( SUM( Y9:Y$11 ), Z$1 )</f>
        <v>6617.3</v>
      </c>
      <c r="AA9" s="26">
        <f xml:space="preserve"> ROUND( Z9 / X9, AA$1 )</f>
        <v>73.47</v>
      </c>
      <c r="AB9" s="12"/>
      <c r="AC9" s="1019"/>
      <c r="AD9" s="1020"/>
    </row>
    <row r="10" spans="1:30" x14ac:dyDescent="0.15">
      <c r="A10" s="1016" t="s">
        <v>73</v>
      </c>
      <c r="B10" s="1016"/>
      <c r="D10" s="690" t="s">
        <v>70</v>
      </c>
      <c r="E10" s="99" t="s">
        <v>148</v>
      </c>
      <c r="F10" s="396">
        <v>700</v>
      </c>
      <c r="G10" s="396">
        <v>750</v>
      </c>
      <c r="H10" s="396">
        <v>800</v>
      </c>
      <c r="I10" s="96"/>
      <c r="J10" s="96"/>
      <c r="K10" s="96"/>
      <c r="L10" s="96"/>
      <c r="M10" s="99"/>
      <c r="S10" s="11">
        <f xml:space="preserve"> EING!B13</f>
        <v>4</v>
      </c>
      <c r="T10" s="675">
        <f xml:space="preserve"> Bx!D13</f>
        <v>0.90590000000000004</v>
      </c>
      <c r="U10" s="676">
        <v>0.25</v>
      </c>
      <c r="V10" s="678">
        <f xml:space="preserve"> ROUND( V9 * ( 1 - U9), V$1 )</f>
        <v>94</v>
      </c>
      <c r="W10" s="677">
        <f xml:space="preserve"> Kx!BC13</f>
        <v>25</v>
      </c>
      <c r="X10" s="26">
        <f xml:space="preserve"> ROUND( T10 * V10, X$1 )</f>
        <v>85.15</v>
      </c>
      <c r="Y10" s="26">
        <f xml:space="preserve"> ROUND( W10 * X10, Y$1 )</f>
        <v>2128.75</v>
      </c>
      <c r="Z10" s="26">
        <f xml:space="preserve"> ROUND( SUM( Y10:Y$11 ), Z$1 )</f>
        <v>5266.25</v>
      </c>
      <c r="AA10" s="26">
        <f xml:space="preserve"> ROUND( Z10 / X10, AA$1 )</f>
        <v>61.85</v>
      </c>
      <c r="AB10" s="12"/>
      <c r="AC10" s="1019"/>
      <c r="AD10" s="1020"/>
    </row>
    <row r="11" spans="1:30" x14ac:dyDescent="0.15">
      <c r="A11" s="1016"/>
      <c r="B11" s="1016"/>
      <c r="D11" s="690" t="s">
        <v>71</v>
      </c>
      <c r="E11" s="111" t="s">
        <v>149</v>
      </c>
      <c r="F11" s="870">
        <v>350</v>
      </c>
      <c r="G11" s="871">
        <v>400</v>
      </c>
      <c r="H11" s="871">
        <v>455</v>
      </c>
      <c r="I11" s="96"/>
      <c r="J11" s="96"/>
      <c r="K11" s="96"/>
      <c r="L11" s="96"/>
      <c r="M11" s="99"/>
      <c r="S11" s="11">
        <f xml:space="preserve"> EING!B14</f>
        <v>5</v>
      </c>
      <c r="T11" s="675">
        <f xml:space="preserve"> Bx!D14</f>
        <v>0.88380000000000003</v>
      </c>
      <c r="U11" s="676">
        <v>1</v>
      </c>
      <c r="V11" s="678">
        <f xml:space="preserve"> ROUND( V10 * ( 1 - U10), V$1 )</f>
        <v>71</v>
      </c>
      <c r="W11" s="677">
        <f xml:space="preserve"> Kx!BC14</f>
        <v>50</v>
      </c>
      <c r="X11" s="26">
        <f xml:space="preserve"> ROUND( T11 * V11, X$1 )</f>
        <v>62.75</v>
      </c>
      <c r="Y11" s="26">
        <f xml:space="preserve"> ROUND( W11 * X11, Y$1 )</f>
        <v>3137.5</v>
      </c>
      <c r="Z11" s="26">
        <f xml:space="preserve"> ROUND( SUM( Y11:Y$11 ), Z$1 )</f>
        <v>3137.5</v>
      </c>
      <c r="AA11" s="26">
        <f xml:space="preserve"> ROUND( Z11 / X11, AA$1 )</f>
        <v>50</v>
      </c>
      <c r="AB11" s="12"/>
      <c r="AC11" s="12"/>
      <c r="AD11" s="13"/>
    </row>
    <row r="12" spans="1:30" x14ac:dyDescent="0.15">
      <c r="A12" s="671">
        <v>0.1</v>
      </c>
      <c r="D12" s="691" t="s">
        <v>302</v>
      </c>
      <c r="E12" s="692"/>
      <c r="F12" s="865">
        <f xml:space="preserve"> ROUND( SUM( Kx!W10:W14 ), 0 )</f>
        <v>6000</v>
      </c>
      <c r="G12" s="865">
        <f xml:space="preserve"> ROUND( SUM( Kx!Z10:Z14 ), 0 )</f>
        <v>6400</v>
      </c>
      <c r="H12" s="865">
        <f xml:space="preserve"> ROUND( SUM( Kx!AG10:AG14 ), 0 )</f>
        <v>6455</v>
      </c>
      <c r="I12" s="96"/>
      <c r="J12" s="96"/>
      <c r="K12" s="96"/>
      <c r="L12" s="96"/>
      <c r="M12" s="99"/>
      <c r="S12" s="11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3"/>
    </row>
    <row r="13" spans="1:30" x14ac:dyDescent="0.15">
      <c r="D13" s="97"/>
      <c r="E13" s="96"/>
      <c r="F13" s="96"/>
      <c r="G13" s="96"/>
      <c r="H13" s="96"/>
      <c r="I13" s="96"/>
      <c r="J13" s="96"/>
      <c r="K13" s="96"/>
      <c r="L13" s="96"/>
      <c r="M13" s="99"/>
      <c r="S13" s="11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953" t="str">
        <f xml:space="preserve"> SUBSTITUTE( AC14 &amp; "^quer", "_", " _" )</f>
        <v>Q^qA _x^quer</v>
      </c>
    </row>
    <row r="14" spans="1:30" x14ac:dyDescent="0.15">
      <c r="D14" s="97"/>
      <c r="E14" s="111" t="str">
        <f xml:space="preserve"> "G^" &amp; I6  &amp; " (rm.)"</f>
        <v>G^t0 (rm.)</v>
      </c>
      <c r="F14" s="487">
        <f xml:space="preserve"> $I14</f>
        <v>9</v>
      </c>
      <c r="G14" s="487">
        <f xml:space="preserve"> $I14</f>
        <v>9</v>
      </c>
      <c r="H14" s="487">
        <f xml:space="preserve"> $I14</f>
        <v>9</v>
      </c>
      <c r="I14" s="694">
        <v>9</v>
      </c>
      <c r="J14" s="104"/>
      <c r="K14" s="96"/>
      <c r="L14" s="96"/>
      <c r="M14" s="99"/>
      <c r="N14" s="673"/>
      <c r="S14" s="22" t="str">
        <f t="shared" ref="S14:AA14" si="0" xml:space="preserve"> SUBSTITUTE( S4, "^erf", "^rm" )</f>
        <v>x</v>
      </c>
      <c r="T14" s="679" t="str">
        <f t="shared" si="0"/>
        <v>v^x</v>
      </c>
      <c r="U14" s="247" t="str">
        <f t="shared" si="0"/>
        <v>q^rm_x</v>
      </c>
      <c r="V14" s="247" t="str">
        <f t="shared" si="0"/>
        <v>l^rm_x</v>
      </c>
      <c r="W14" s="247" t="str">
        <f t="shared" si="0"/>
        <v>K_x</v>
      </c>
      <c r="X14" s="247" t="str">
        <f t="shared" si="0"/>
        <v>D^rm_x</v>
      </c>
      <c r="Y14" s="247" t="str">
        <f t="shared" si="0"/>
        <v>O^rm_x</v>
      </c>
      <c r="Z14" s="247" t="str">
        <f t="shared" si="0"/>
        <v>U^rm_x</v>
      </c>
      <c r="AA14" s="247" t="str">
        <f t="shared" si="0"/>
        <v>A^rm_x</v>
      </c>
      <c r="AB14" s="12"/>
      <c r="AC14" s="247" t="s">
        <v>80</v>
      </c>
      <c r="AD14" s="954"/>
    </row>
    <row r="15" spans="1:30" x14ac:dyDescent="0.15">
      <c r="D15" s="97"/>
      <c r="E15" s="99" t="str">
        <f xml:space="preserve"> "L^τ_" &amp; EING!B10</f>
        <v>L^τ_1</v>
      </c>
      <c r="F15" s="866">
        <f xml:space="preserve"> Kx!X10</f>
        <v>82.3</v>
      </c>
      <c r="G15" s="866">
        <f xml:space="preserve"> Kx!AA10</f>
        <v>87.3</v>
      </c>
      <c r="H15" s="866">
        <f xml:space="preserve"> Kx!AH10</f>
        <v>93.5</v>
      </c>
      <c r="I15" s="96"/>
      <c r="J15" s="96"/>
      <c r="K15" s="96"/>
      <c r="L15" s="96"/>
      <c r="M15" s="99"/>
      <c r="S15" s="11"/>
      <c r="T15" s="12"/>
      <c r="U15" s="12" t="s">
        <v>170</v>
      </c>
      <c r="V15" s="12"/>
      <c r="W15" s="12"/>
      <c r="X15" s="12"/>
      <c r="Y15" s="12"/>
      <c r="Z15" s="12"/>
      <c r="AA15" s="12"/>
      <c r="AB15" s="12"/>
      <c r="AC15" s="12"/>
      <c r="AD15" s="680" t="s">
        <v>163</v>
      </c>
    </row>
    <row r="16" spans="1:30" x14ac:dyDescent="0.15">
      <c r="D16" s="97"/>
      <c r="E16" s="99" t="str">
        <f xml:space="preserve"> "L^τ_" &amp; EING!B11</f>
        <v>L^τ_2</v>
      </c>
      <c r="F16" s="866">
        <f xml:space="preserve"> Kx!X11</f>
        <v>84.2</v>
      </c>
      <c r="G16" s="866">
        <f xml:space="preserve"> Kx!AA11</f>
        <v>95</v>
      </c>
      <c r="H16" s="866">
        <f xml:space="preserve"> Kx!AH11</f>
        <v>90.5</v>
      </c>
      <c r="I16" s="96"/>
      <c r="J16" s="96"/>
      <c r="K16" s="96"/>
      <c r="L16" s="96"/>
      <c r="M16" s="99"/>
      <c r="S16" s="11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3"/>
    </row>
    <row r="17" spans="1:30" x14ac:dyDescent="0.15">
      <c r="D17" s="97"/>
      <c r="E17" s="99" t="str">
        <f xml:space="preserve"> "L^τ_" &amp; EING!B12</f>
        <v>L^τ_3</v>
      </c>
      <c r="F17" s="866">
        <f xml:space="preserve"> Kx!X12</f>
        <v>29.6</v>
      </c>
      <c r="G17" s="866">
        <f xml:space="preserve"> Kx!AA12</f>
        <v>32.6</v>
      </c>
      <c r="H17" s="866">
        <f xml:space="preserve"> Kx!AH12</f>
        <v>9.5</v>
      </c>
      <c r="I17" s="96"/>
      <c r="J17" s="96"/>
      <c r="K17" s="96"/>
      <c r="L17" s="96"/>
      <c r="M17" s="99"/>
      <c r="S17" s="11">
        <f t="shared" ref="S17:T21" si="1" xml:space="preserve"> S7</f>
        <v>1</v>
      </c>
      <c r="T17" s="674">
        <f t="shared" si="1"/>
        <v>0.97560000000000002</v>
      </c>
      <c r="U17" s="682">
        <f xml:space="preserve"> sx!L10</f>
        <v>0.01</v>
      </c>
      <c r="V17" s="678">
        <f xml:space="preserve"> V7</f>
        <v>100</v>
      </c>
      <c r="W17" s="16">
        <f xml:space="preserve"> W7</f>
        <v>10</v>
      </c>
      <c r="X17" s="26">
        <f xml:space="preserve"> ROUND( T17 * V17, X$1 )</f>
        <v>97.56</v>
      </c>
      <c r="Y17" s="26">
        <f xml:space="preserve"> ROUND( W17 * X17, Y$1 )</f>
        <v>975.6</v>
      </c>
      <c r="Z17" s="26">
        <f xml:space="preserve"> ROUND( SUM( Y17:Y$21 ), Z$1 )</f>
        <v>8277.9</v>
      </c>
      <c r="AA17" s="26">
        <f xml:space="preserve"> ROUND( Z17 / X17, AA$1 )</f>
        <v>84.85</v>
      </c>
      <c r="AB17" s="12"/>
      <c r="AC17" s="683">
        <f xml:space="preserve"> ROUND( AA7 / AA17, AC$1 )</f>
        <v>1.0310999999999999</v>
      </c>
      <c r="AD17" s="13"/>
    </row>
    <row r="18" spans="1:30" x14ac:dyDescent="0.15">
      <c r="D18" s="97"/>
      <c r="E18" s="99" t="str">
        <f xml:space="preserve"> "L^τ_" &amp; EING!B13</f>
        <v>L^τ_4</v>
      </c>
      <c r="F18" s="866">
        <f xml:space="preserve"> Kx!X13</f>
        <v>76.400000000000006</v>
      </c>
      <c r="G18" s="866">
        <f xml:space="preserve"> Kx!AA13</f>
        <v>76.400000000000006</v>
      </c>
      <c r="H18" s="866">
        <f xml:space="preserve"> Kx!AH13</f>
        <v>81</v>
      </c>
      <c r="I18" s="96"/>
      <c r="J18" s="96"/>
      <c r="K18" s="96"/>
      <c r="L18" s="96"/>
      <c r="M18" s="99"/>
      <c r="S18" s="11">
        <f t="shared" si="1"/>
        <v>2</v>
      </c>
      <c r="T18" s="674">
        <f t="shared" si="1"/>
        <v>0.95179999999999998</v>
      </c>
      <c r="U18" s="682">
        <f xml:space="preserve"> sx!L11</f>
        <v>0.03</v>
      </c>
      <c r="V18" s="678">
        <f xml:space="preserve"> ROUND( V17 * ( 1 - U17), V$1 )</f>
        <v>99</v>
      </c>
      <c r="W18" s="16">
        <f xml:space="preserve"> W8</f>
        <v>10</v>
      </c>
      <c r="X18" s="26">
        <f xml:space="preserve"> ROUND( T18 * V18, X$1 )</f>
        <v>94.23</v>
      </c>
      <c r="Y18" s="26">
        <f xml:space="preserve"> ROUND( W18 * X18, Y$1 )</f>
        <v>942.3</v>
      </c>
      <c r="Z18" s="26">
        <f xml:space="preserve"> ROUND( SUM( Y18:Y$21 ), Z$1 )</f>
        <v>7302.3</v>
      </c>
      <c r="AA18" s="26">
        <f xml:space="preserve"> ROUND( Z18 / X18, AA$1 )</f>
        <v>77.489999999999995</v>
      </c>
      <c r="AB18" s="12"/>
      <c r="AC18" s="684">
        <f xml:space="preserve"> ROUND( AA8 / AA18, AC$1 )</f>
        <v>1.0351999999999999</v>
      </c>
      <c r="AD18" s="685">
        <f xml:space="preserve"> ROUND( AVERAGE( AC17:AC18), AD$1 )</f>
        <v>1.0331999999999999</v>
      </c>
    </row>
    <row r="19" spans="1:30" x14ac:dyDescent="0.15">
      <c r="D19" s="97"/>
      <c r="E19" s="111" t="str">
        <f xml:space="preserve"> "L^τ_" &amp; EING!B14</f>
        <v>L^τ_5</v>
      </c>
      <c r="F19" s="867">
        <f xml:space="preserve"> Kx!X14</f>
        <v>46.3</v>
      </c>
      <c r="G19" s="868">
        <f xml:space="preserve"> Kx!AA14</f>
        <v>46.3</v>
      </c>
      <c r="H19" s="868">
        <f xml:space="preserve"> Kx!AH14</f>
        <v>50.5</v>
      </c>
      <c r="I19" s="104"/>
      <c r="J19" s="104"/>
      <c r="K19" s="96"/>
      <c r="L19" s="96"/>
      <c r="M19" s="99"/>
      <c r="S19" s="11">
        <f t="shared" si="1"/>
        <v>3</v>
      </c>
      <c r="T19" s="674">
        <f t="shared" si="1"/>
        <v>0.92859999999999998</v>
      </c>
      <c r="U19" s="682">
        <f xml:space="preserve"> sx!L12</f>
        <v>0.03</v>
      </c>
      <c r="V19" s="678">
        <f xml:space="preserve"> ROUND( V18 * ( 1 - U18), V$1 )</f>
        <v>96</v>
      </c>
      <c r="W19" s="16">
        <f xml:space="preserve"> W9</f>
        <v>15</v>
      </c>
      <c r="X19" s="26">
        <f xml:space="preserve"> ROUND( T19 * V19, X$1 )</f>
        <v>89.15</v>
      </c>
      <c r="Y19" s="26">
        <f xml:space="preserve"> ROUND( W19 * X19, Y$1 )</f>
        <v>1337.25</v>
      </c>
      <c r="Z19" s="26">
        <f xml:space="preserve"> ROUND( SUM( Y19:Y$21 ), Z$1 )</f>
        <v>6360</v>
      </c>
      <c r="AA19" s="26">
        <f xml:space="preserve"> ROUND( Z19 / X19, AA$1 )</f>
        <v>71.34</v>
      </c>
      <c r="AB19" s="12"/>
      <c r="AC19" s="683">
        <f xml:space="preserve"> ROUND( AA9 / AA19, AC$1 )</f>
        <v>1.0299</v>
      </c>
      <c r="AD19" s="13"/>
    </row>
    <row r="20" spans="1:30" x14ac:dyDescent="0.15">
      <c r="D20" s="97"/>
      <c r="E20" s="99" t="str">
        <f xml:space="preserve"> "k^" &amp; $I$6 &amp; "_" &amp;EING!B10  &amp; " (rm.)"</f>
        <v>k^t0_1 (rm.)</v>
      </c>
      <c r="F20" s="471">
        <f t="shared" ref="F20:H24" si="2" xml:space="preserve"> $I20</f>
        <v>1</v>
      </c>
      <c r="G20" s="471">
        <f t="shared" si="2"/>
        <v>1</v>
      </c>
      <c r="H20" s="471">
        <f xml:space="preserve"> $I20</f>
        <v>1</v>
      </c>
      <c r="I20" s="695">
        <f xml:space="preserve"> Kx!$BM10</f>
        <v>1</v>
      </c>
      <c r="J20" s="471">
        <f xml:space="preserve"> I20</f>
        <v>1</v>
      </c>
      <c r="K20" s="96"/>
      <c r="L20" s="96"/>
      <c r="M20" s="99"/>
      <c r="S20" s="11">
        <f t="shared" si="1"/>
        <v>4</v>
      </c>
      <c r="T20" s="674">
        <f t="shared" si="1"/>
        <v>0.90590000000000004</v>
      </c>
      <c r="U20" s="682">
        <f xml:space="preserve"> sx!L13</f>
        <v>0.28999999999999998</v>
      </c>
      <c r="V20" s="678">
        <f xml:space="preserve"> ROUND( V19 * ( 1 - U19), V$1 )</f>
        <v>93</v>
      </c>
      <c r="W20" s="16">
        <f xml:space="preserve"> W10</f>
        <v>25</v>
      </c>
      <c r="X20" s="26">
        <f xml:space="preserve"> ROUND( T20 * V20, X$1 )</f>
        <v>84.25</v>
      </c>
      <c r="Y20" s="26">
        <f xml:space="preserve"> ROUND( W20 * X20, Y$1 )</f>
        <v>2106.25</v>
      </c>
      <c r="Z20" s="26">
        <f xml:space="preserve"> ROUND( SUM( Y20:Y$21 ), Z$1 )</f>
        <v>5022.75</v>
      </c>
      <c r="AA20" s="26">
        <f xml:space="preserve"> ROUND( Z20 / X20, AA$1 )</f>
        <v>59.62</v>
      </c>
      <c r="AB20" s="12"/>
      <c r="AC20" s="684">
        <f xml:space="preserve"> ROUND( AA10 / AA20, AC$1 )</f>
        <v>1.0374000000000001</v>
      </c>
      <c r="AD20" s="685">
        <f xml:space="preserve"> ROUND( AVERAGE( AC19:AC20), AD$1 )</f>
        <v>1.0337000000000001</v>
      </c>
    </row>
    <row r="21" spans="1:30" x14ac:dyDescent="0.15">
      <c r="D21" s="97"/>
      <c r="E21" s="99" t="str">
        <f xml:space="preserve"> "k^" &amp; $I$6 &amp; "_" &amp;EING!B11  &amp; " (rm.)"</f>
        <v>k^t0_2 (rm.)</v>
      </c>
      <c r="F21" s="471">
        <f t="shared" si="2"/>
        <v>1</v>
      </c>
      <c r="G21" s="471">
        <f t="shared" si="2"/>
        <v>1</v>
      </c>
      <c r="H21" s="471">
        <f t="shared" si="2"/>
        <v>1</v>
      </c>
      <c r="I21" s="695">
        <f xml:space="preserve"> Kx!$BM11</f>
        <v>1</v>
      </c>
      <c r="J21" s="471">
        <f xml:space="preserve"> I21</f>
        <v>1</v>
      </c>
      <c r="K21" s="96"/>
      <c r="L21" s="96"/>
      <c r="M21" s="99"/>
      <c r="S21" s="11">
        <f t="shared" si="1"/>
        <v>5</v>
      </c>
      <c r="T21" s="674">
        <f t="shared" si="1"/>
        <v>0.88380000000000003</v>
      </c>
      <c r="U21" s="682">
        <f xml:space="preserve"> sx!L14</f>
        <v>1</v>
      </c>
      <c r="V21" s="678">
        <f xml:space="preserve"> ROUND( V20 * ( 1 - U20), V$1 )</f>
        <v>66</v>
      </c>
      <c r="W21" s="16">
        <f xml:space="preserve"> W11</f>
        <v>50</v>
      </c>
      <c r="X21" s="26">
        <f xml:space="preserve"> ROUND( T21 * V21, X$1 )</f>
        <v>58.33</v>
      </c>
      <c r="Y21" s="26">
        <f xml:space="preserve"> ROUND( W21 * X21, Y$1 )</f>
        <v>2916.5</v>
      </c>
      <c r="Z21" s="26">
        <f xml:space="preserve"> ROUND( SUM( Y21:Y$21 ), Z$1 )</f>
        <v>2916.5</v>
      </c>
      <c r="AA21" s="26">
        <f xml:space="preserve"> ROUND( Z21 / X21, AA$1 )</f>
        <v>50</v>
      </c>
      <c r="AB21" s="12"/>
      <c r="AC21" s="683"/>
      <c r="AD21" s="686"/>
    </row>
    <row r="22" spans="1:30" x14ac:dyDescent="0.15">
      <c r="D22" s="97"/>
      <c r="E22" s="99" t="str">
        <f xml:space="preserve"> "k^" &amp; $I$6 &amp; "_" &amp;EING!B12  &amp; " (rm.)"</f>
        <v>k^t0_3 (rm.)</v>
      </c>
      <c r="F22" s="471">
        <f t="shared" si="2"/>
        <v>1.5</v>
      </c>
      <c r="G22" s="471">
        <f t="shared" si="2"/>
        <v>1.5</v>
      </c>
      <c r="H22" s="471">
        <f t="shared" si="2"/>
        <v>1.5</v>
      </c>
      <c r="I22" s="695">
        <f xml:space="preserve"> Kx!$BM12</f>
        <v>1.5</v>
      </c>
      <c r="J22" s="471">
        <f xml:space="preserve"> I22</f>
        <v>1.5</v>
      </c>
      <c r="K22" s="96"/>
      <c r="L22" s="96"/>
      <c r="M22" s="99"/>
      <c r="S22" s="11"/>
      <c r="T22" s="12"/>
      <c r="U22" s="682"/>
      <c r="V22" s="12"/>
      <c r="W22" s="12"/>
      <c r="X22" s="12"/>
      <c r="Y22" s="12"/>
      <c r="Z22" s="12"/>
      <c r="AA22" s="12"/>
      <c r="AB22" s="12"/>
      <c r="AC22" s="12"/>
      <c r="AD22" s="13"/>
    </row>
    <row r="23" spans="1:30" x14ac:dyDescent="0.15">
      <c r="D23" s="97"/>
      <c r="E23" s="99" t="str">
        <f xml:space="preserve"> "k^" &amp; $I$6 &amp; "_" &amp;EING!B13  &amp; " (rm.)"</f>
        <v>k^t0_4 (rm.)</v>
      </c>
      <c r="F23" s="471">
        <f t="shared" si="2"/>
        <v>2.5</v>
      </c>
      <c r="G23" s="471">
        <f t="shared" si="2"/>
        <v>2.5</v>
      </c>
      <c r="H23" s="471">
        <f t="shared" si="2"/>
        <v>2.5</v>
      </c>
      <c r="I23" s="695">
        <f xml:space="preserve"> Kx!$BM13</f>
        <v>2.5</v>
      </c>
      <c r="J23" s="471">
        <f xml:space="preserve"> I23</f>
        <v>2.5</v>
      </c>
      <c r="K23" s="96"/>
      <c r="L23" s="98"/>
      <c r="M23" s="99"/>
      <c r="S23" s="11"/>
      <c r="T23" s="12"/>
      <c r="U23" s="682"/>
      <c r="V23" s="12"/>
      <c r="W23" s="12"/>
      <c r="X23" s="12"/>
      <c r="Y23" s="12"/>
      <c r="Z23" s="12"/>
      <c r="AA23" s="12"/>
      <c r="AB23" s="12"/>
      <c r="AC23" s="12"/>
      <c r="AD23" s="680" t="s">
        <v>164</v>
      </c>
    </row>
    <row r="24" spans="1:30" x14ac:dyDescent="0.15">
      <c r="D24" s="97"/>
      <c r="E24" s="111" t="str">
        <f xml:space="preserve"> "k^" &amp; $I$6 &amp; "_" &amp;EING!B14  &amp; " (rm.)"</f>
        <v>k^t0_5 (rm.)</v>
      </c>
      <c r="F24" s="492">
        <f t="shared" si="2"/>
        <v>5</v>
      </c>
      <c r="G24" s="140">
        <f t="shared" si="2"/>
        <v>5</v>
      </c>
      <c r="H24" s="140">
        <f t="shared" si="2"/>
        <v>5</v>
      </c>
      <c r="I24" s="869">
        <f xml:space="preserve"> Kx!$BM14</f>
        <v>5</v>
      </c>
      <c r="J24" s="140">
        <f xml:space="preserve"> I24</f>
        <v>5</v>
      </c>
      <c r="K24" s="96"/>
      <c r="L24" s="96"/>
      <c r="M24" s="99"/>
      <c r="S24" s="11"/>
      <c r="T24" s="12"/>
      <c r="U24" s="12"/>
      <c r="V24" s="12"/>
      <c r="W24" s="12"/>
      <c r="X24" s="12"/>
      <c r="Y24" s="12"/>
      <c r="Z24" s="12"/>
      <c r="AA24" s="12"/>
      <c r="AB24" s="246" t="s">
        <v>81</v>
      </c>
      <c r="AC24" s="12"/>
      <c r="AD24" s="687">
        <f xml:space="preserve"> MAX( AD17:AD20 )</f>
        <v>1.0337000000000001</v>
      </c>
    </row>
    <row r="25" spans="1:30" x14ac:dyDescent="0.15">
      <c r="A25" s="61">
        <v>2</v>
      </c>
      <c r="D25" s="97"/>
      <c r="E25" s="872" t="s">
        <v>162</v>
      </c>
      <c r="F25" s="196">
        <f xml:space="preserve"> ROUND( SUMPRODUCT( F15:F19, F20:F24 ), $A25 )</f>
        <v>633.4</v>
      </c>
      <c r="G25" s="196">
        <f xml:space="preserve"> ROUND( SUMPRODUCT( G15:G19, G20:G24 ), $A25 )</f>
        <v>653.70000000000005</v>
      </c>
      <c r="H25" s="196">
        <f xml:space="preserve"> ROUND( SUMPRODUCT( H15:H19, H20:H24 ), $A25 )</f>
        <v>653.25</v>
      </c>
      <c r="I25" s="96"/>
      <c r="J25" s="96"/>
      <c r="K25" s="96"/>
      <c r="L25" s="96"/>
      <c r="M25" s="99"/>
      <c r="S25" s="11"/>
      <c r="T25" s="12"/>
      <c r="U25" s="12"/>
      <c r="V25" s="12"/>
      <c r="W25" s="12"/>
      <c r="X25" s="12"/>
      <c r="Y25" s="12"/>
      <c r="Z25" s="12"/>
      <c r="AA25" s="12"/>
      <c r="AB25" s="246" t="str">
        <f xml:space="preserve"> A10</f>
        <v>Grenzwert für Anpassung</v>
      </c>
      <c r="AC25" s="12"/>
      <c r="AD25" s="688">
        <v>0.05</v>
      </c>
    </row>
    <row r="26" spans="1:30" x14ac:dyDescent="0.15">
      <c r="A26" s="61">
        <v>0</v>
      </c>
      <c r="D26" s="697" t="s">
        <v>301</v>
      </c>
      <c r="E26" s="698"/>
      <c r="F26" s="699">
        <f xml:space="preserve"> ROUND( F14 * SUMPRODUCT( F15:F19, F20:F24 ), $A26 )</f>
        <v>5701</v>
      </c>
      <c r="G26" s="699">
        <f xml:space="preserve"> ROUND( G14 * SUMPRODUCT( G15:G19, G20:G24 ), $A26 )</f>
        <v>5883</v>
      </c>
      <c r="H26" s="699">
        <f xml:space="preserve"> ROUND( H14 * SUMPRODUCT( H15:H19, H20:H24 ), $A26 )</f>
        <v>5879</v>
      </c>
      <c r="I26" s="104"/>
      <c r="J26" s="104"/>
      <c r="K26" s="104"/>
      <c r="L26" s="104"/>
      <c r="M26" s="133" t="str">
        <f xml:space="preserve"> "= " &amp; E14 &amp; " * " &amp; E25</f>
        <v>= G^t0 (rm.) * ∑ L^τ_x · k^t0_x</v>
      </c>
      <c r="S26" s="28" t="s">
        <v>160</v>
      </c>
      <c r="T26" s="32"/>
      <c r="U26" s="32"/>
      <c r="V26" s="32"/>
      <c r="W26" s="32"/>
      <c r="X26" s="32"/>
      <c r="Y26" s="32"/>
      <c r="Z26" s="32"/>
      <c r="AA26" s="32"/>
      <c r="AB26" s="247" t="s">
        <v>82</v>
      </c>
      <c r="AC26" s="32"/>
      <c r="AD26" s="689" t="str">
        <f xml:space="preserve"> IF( OR( AD24&lt;1-AD25, AD24&gt;1+AD25), $A$3, "keine" )</f>
        <v>keine</v>
      </c>
    </row>
    <row r="27" spans="1:30" x14ac:dyDescent="0.15">
      <c r="D27" s="95"/>
      <c r="E27" s="95"/>
      <c r="F27" s="95"/>
      <c r="G27" s="95"/>
      <c r="H27" s="95"/>
      <c r="I27" s="95"/>
      <c r="J27" s="95"/>
      <c r="K27" s="95"/>
      <c r="L27" s="95"/>
      <c r="M27" s="95"/>
    </row>
    <row r="28" spans="1:30" x14ac:dyDescent="0.15">
      <c r="D28" s="95"/>
      <c r="E28" s="95"/>
      <c r="F28" s="95"/>
      <c r="G28" s="95"/>
      <c r="H28" s="95"/>
      <c r="I28" s="95"/>
      <c r="J28" s="95"/>
      <c r="K28" s="95"/>
      <c r="L28" s="95"/>
      <c r="M28" s="95"/>
    </row>
    <row r="29" spans="1:30" x14ac:dyDescent="0.15">
      <c r="D29" s="95"/>
      <c r="E29" s="95"/>
      <c r="F29" s="95"/>
      <c r="G29" s="95"/>
      <c r="H29" s="95"/>
      <c r="I29" s="95"/>
      <c r="J29" s="95"/>
      <c r="K29" s="95"/>
      <c r="L29" s="95"/>
      <c r="M29" s="95"/>
    </row>
    <row r="30" spans="1:30" x14ac:dyDescent="0.15">
      <c r="D30" s="112" t="s">
        <v>77</v>
      </c>
      <c r="E30" s="113"/>
      <c r="F30" s="113"/>
      <c r="G30" s="113"/>
      <c r="H30" s="113"/>
      <c r="I30" s="113"/>
      <c r="J30" s="113"/>
      <c r="K30" s="113"/>
      <c r="L30" s="113"/>
      <c r="M30" s="128"/>
    </row>
    <row r="31" spans="1:30" x14ac:dyDescent="0.15">
      <c r="D31" s="97"/>
      <c r="E31" s="96"/>
      <c r="F31" s="96"/>
      <c r="G31" s="96"/>
      <c r="H31" s="96"/>
      <c r="I31" s="96"/>
      <c r="J31" s="96"/>
      <c r="K31" s="96"/>
      <c r="L31" s="96"/>
      <c r="M31" s="99"/>
    </row>
    <row r="32" spans="1:30" x14ac:dyDescent="0.15">
      <c r="D32" s="200"/>
      <c r="E32" s="700" t="str">
        <f xml:space="preserve"> D12</f>
        <v>ST^τ (tats.)</v>
      </c>
      <c r="F32" s="100">
        <f xml:space="preserve"> F12</f>
        <v>6000</v>
      </c>
      <c r="G32" s="100">
        <f xml:space="preserve"> G12</f>
        <v>6400</v>
      </c>
      <c r="H32" s="100">
        <f xml:space="preserve"> H12</f>
        <v>6455</v>
      </c>
      <c r="I32" s="96"/>
      <c r="J32" s="96"/>
      <c r="K32" s="96"/>
      <c r="L32" s="96"/>
      <c r="M32" s="99"/>
    </row>
    <row r="33" spans="1:13" x14ac:dyDescent="0.15">
      <c r="D33" s="97"/>
      <c r="E33" s="99" t="str">
        <f xml:space="preserve"> E25</f>
        <v>∑ L^τ_x · k^t0_x</v>
      </c>
      <c r="F33" s="696">
        <f xml:space="preserve"> F25</f>
        <v>633.4</v>
      </c>
      <c r="G33" s="696">
        <f xml:space="preserve"> G25</f>
        <v>653.70000000000005</v>
      </c>
      <c r="H33" s="696">
        <f xml:space="preserve"> H25</f>
        <v>653.25</v>
      </c>
      <c r="I33" s="701"/>
      <c r="J33" s="96"/>
      <c r="K33" s="96"/>
      <c r="L33" s="96"/>
      <c r="M33" s="99"/>
    </row>
    <row r="34" spans="1:13" x14ac:dyDescent="0.15">
      <c r="A34" s="681">
        <v>2</v>
      </c>
      <c r="D34" s="97"/>
      <c r="E34" s="99" t="s">
        <v>304</v>
      </c>
      <c r="F34" s="471">
        <f xml:space="preserve"> ROUND( F32 / F33, $A34 )</f>
        <v>9.4700000000000006</v>
      </c>
      <c r="G34" s="471">
        <f xml:space="preserve"> ROUND( G32 / G33, $A34 )</f>
        <v>9.7899999999999991</v>
      </c>
      <c r="H34" s="471">
        <f xml:space="preserve"> ROUND( H32 / H33, $A34 )</f>
        <v>9.8800000000000008</v>
      </c>
      <c r="I34" s="96"/>
      <c r="J34" s="96"/>
      <c r="K34" s="96"/>
      <c r="L34" s="96"/>
      <c r="M34" s="163" t="str">
        <f xml:space="preserve"> "= " &amp; E32 &amp; " / " &amp; E33</f>
        <v>= ST^τ (tats.) / ∑ L^τ_x · k^t0_x</v>
      </c>
    </row>
    <row r="35" spans="1:13" x14ac:dyDescent="0.15">
      <c r="A35" s="3">
        <f xml:space="preserve"> $A$34</f>
        <v>2</v>
      </c>
      <c r="D35" s="97" t="s">
        <v>303</v>
      </c>
      <c r="E35" s="99"/>
      <c r="F35" s="96"/>
      <c r="G35" s="96"/>
      <c r="H35" s="96"/>
      <c r="I35" s="98" t="s">
        <v>151</v>
      </c>
      <c r="J35" s="702">
        <f xml:space="preserve"> ROUND( 3/2 * ( H34 - F34 ) + 1/3 * SUM( F34:H34 ), $A35 )</f>
        <v>10.33</v>
      </c>
      <c r="K35" s="96"/>
      <c r="L35" s="96"/>
      <c r="M35" s="99"/>
    </row>
    <row r="36" spans="1:13" x14ac:dyDescent="0.15">
      <c r="A36" s="3">
        <f xml:space="preserve"> $A$26</f>
        <v>0</v>
      </c>
      <c r="D36" s="97"/>
      <c r="E36" s="99"/>
      <c r="F36" s="96"/>
      <c r="G36" s="96"/>
      <c r="H36" s="96"/>
      <c r="I36" s="96"/>
      <c r="J36" s="96"/>
      <c r="K36" s="96"/>
      <c r="L36" s="96"/>
      <c r="M36" s="163"/>
    </row>
    <row r="37" spans="1:13" x14ac:dyDescent="0.15">
      <c r="D37" s="97"/>
      <c r="E37" s="96"/>
      <c r="F37" s="96"/>
      <c r="G37" s="96"/>
      <c r="H37" s="96"/>
      <c r="I37" s="96"/>
      <c r="J37" s="96"/>
      <c r="K37" s="96"/>
      <c r="L37" s="96"/>
      <c r="M37" s="99"/>
    </row>
    <row r="38" spans="1:13" x14ac:dyDescent="0.15">
      <c r="D38" s="97" t="str">
        <f xml:space="preserve"> E14</f>
        <v>G^t0 (rm.)</v>
      </c>
      <c r="E38" s="99"/>
      <c r="F38" s="96"/>
      <c r="G38" s="96"/>
      <c r="H38" s="703">
        <f xml:space="preserve"> I14</f>
        <v>9</v>
      </c>
      <c r="I38" s="96"/>
      <c r="J38" s="96"/>
      <c r="K38" s="96"/>
      <c r="L38" s="96"/>
      <c r="M38" s="99"/>
    </row>
    <row r="39" spans="1:13" x14ac:dyDescent="0.15">
      <c r="D39" s="97"/>
      <c r="E39" s="96"/>
      <c r="F39" s="96"/>
      <c r="G39" s="96"/>
      <c r="H39" s="96"/>
      <c r="I39" s="96"/>
      <c r="J39" s="98" t="str">
        <f xml:space="preserve"> $A$10</f>
        <v>Grenzwert für Anpassung</v>
      </c>
      <c r="K39" s="704">
        <f xml:space="preserve"> $A$12</f>
        <v>0.1</v>
      </c>
      <c r="L39" s="96"/>
      <c r="M39" s="99"/>
    </row>
    <row r="40" spans="1:13" x14ac:dyDescent="0.15">
      <c r="A40" s="681">
        <v>4</v>
      </c>
      <c r="D40" s="110" t="str">
        <f xml:space="preserve"> D58</f>
        <v>AF^S</v>
      </c>
      <c r="E40" s="111"/>
      <c r="F40" s="104"/>
      <c r="G40" s="104"/>
      <c r="H40" s="104"/>
      <c r="I40" s="104"/>
      <c r="J40" s="705">
        <f xml:space="preserve"> ROUND( J35 / H38, $A40 )</f>
        <v>1.1477999999999999</v>
      </c>
      <c r="K40" s="706" t="str">
        <f xml:space="preserve"> IF( OR( J40&lt;1-K39, J40&gt;1+K39), $A$3, "keine" )</f>
        <v>Anp.</v>
      </c>
      <c r="L40" s="104"/>
      <c r="M40" s="111"/>
    </row>
    <row r="41" spans="1:13" x14ac:dyDescent="0.15">
      <c r="D41" s="95"/>
      <c r="E41" s="95"/>
      <c r="F41" s="95"/>
      <c r="G41" s="95"/>
      <c r="H41" s="95"/>
      <c r="I41" s="95"/>
      <c r="J41" s="95"/>
      <c r="K41" s="95"/>
      <c r="L41" s="95"/>
      <c r="M41" s="95"/>
    </row>
    <row r="42" spans="1:13" x14ac:dyDescent="0.15">
      <c r="D42" s="95"/>
      <c r="E42" s="95"/>
      <c r="F42" s="95"/>
      <c r="G42" s="95"/>
      <c r="H42" s="95"/>
      <c r="I42" s="95"/>
      <c r="J42" s="95"/>
      <c r="K42" s="95"/>
      <c r="L42" s="95"/>
      <c r="M42" s="95"/>
    </row>
    <row r="43" spans="1:13" x14ac:dyDescent="0.15">
      <c r="D43" s="95"/>
      <c r="E43" s="95"/>
      <c r="F43" s="95"/>
      <c r="G43" s="95"/>
      <c r="H43" s="95"/>
      <c r="I43" s="95"/>
      <c r="J43" s="95"/>
      <c r="K43" s="95"/>
      <c r="L43" s="95"/>
      <c r="M43" s="95"/>
    </row>
    <row r="44" spans="1:13" x14ac:dyDescent="0.15">
      <c r="D44" s="112" t="s">
        <v>78</v>
      </c>
      <c r="E44" s="113"/>
      <c r="F44" s="113"/>
      <c r="G44" s="113"/>
      <c r="H44" s="113"/>
      <c r="I44" s="113"/>
      <c r="J44" s="113"/>
      <c r="K44" s="113"/>
      <c r="L44" s="113"/>
      <c r="M44" s="128"/>
    </row>
    <row r="45" spans="1:13" x14ac:dyDescent="0.15">
      <c r="D45" s="97"/>
      <c r="E45" s="96"/>
      <c r="F45" s="96"/>
      <c r="G45" s="96"/>
      <c r="H45" s="96"/>
      <c r="I45" s="96"/>
      <c r="J45" s="96"/>
      <c r="K45" s="96"/>
      <c r="L45" s="96"/>
      <c r="M45" s="99"/>
    </row>
    <row r="46" spans="1:13" x14ac:dyDescent="0.15">
      <c r="D46" s="97"/>
      <c r="E46" s="99" t="str">
        <f xml:space="preserve"> D12</f>
        <v>ST^τ (tats.)</v>
      </c>
      <c r="F46" s="100">
        <f xml:space="preserve"> F12</f>
        <v>6000</v>
      </c>
      <c r="G46" s="100">
        <f xml:space="preserve"> G12</f>
        <v>6400</v>
      </c>
      <c r="H46" s="100">
        <f xml:space="preserve"> H12</f>
        <v>6455</v>
      </c>
      <c r="I46" s="96"/>
      <c r="J46" s="96"/>
      <c r="K46" s="96"/>
      <c r="L46" s="96"/>
      <c r="M46" s="99"/>
    </row>
    <row r="47" spans="1:13" x14ac:dyDescent="0.15">
      <c r="D47" s="97"/>
      <c r="E47" s="99" t="str">
        <f xml:space="preserve"> D26</f>
        <v>SR^τ (rm.)</v>
      </c>
      <c r="F47" s="693">
        <f xml:space="preserve"> F26</f>
        <v>5701</v>
      </c>
      <c r="G47" s="693">
        <f xml:space="preserve"> G26</f>
        <v>5883</v>
      </c>
      <c r="H47" s="693">
        <f xml:space="preserve"> H26</f>
        <v>5879</v>
      </c>
      <c r="I47" s="96"/>
      <c r="J47" s="96"/>
      <c r="K47" s="96"/>
      <c r="L47" s="96"/>
      <c r="M47" s="99"/>
    </row>
    <row r="48" spans="1:13" x14ac:dyDescent="0.15">
      <c r="A48" s="3">
        <f xml:space="preserve"> $A$40</f>
        <v>4</v>
      </c>
      <c r="D48" s="97" t="s">
        <v>74</v>
      </c>
      <c r="E48" s="99"/>
      <c r="F48" s="707">
        <f xml:space="preserve"> ROUND( F46 / F47, $A48 )</f>
        <v>1.0524</v>
      </c>
      <c r="G48" s="707">
        <f xml:space="preserve"> ROUND( G46 / G47, $A48 )</f>
        <v>1.0879000000000001</v>
      </c>
      <c r="H48" s="708">
        <f xml:space="preserve"> ROUND( H46 / H47, $A48 )</f>
        <v>1.0980000000000001</v>
      </c>
      <c r="I48" s="96"/>
      <c r="J48" s="96"/>
      <c r="K48" s="96"/>
      <c r="L48" s="96"/>
      <c r="M48" s="99"/>
    </row>
    <row r="49" spans="1:13" x14ac:dyDescent="0.15">
      <c r="D49" s="97"/>
      <c r="E49" s="96"/>
      <c r="F49" s="96"/>
      <c r="G49" s="96"/>
      <c r="H49" s="96"/>
      <c r="I49" s="96"/>
      <c r="J49" s="96"/>
      <c r="K49" s="96"/>
      <c r="L49" s="96"/>
      <c r="M49" s="99"/>
    </row>
    <row r="50" spans="1:13" x14ac:dyDescent="0.15">
      <c r="D50" s="97"/>
      <c r="E50" s="96"/>
      <c r="F50" s="96"/>
      <c r="G50" s="96"/>
      <c r="H50" s="96"/>
      <c r="I50" s="96"/>
      <c r="J50" s="96"/>
      <c r="K50" s="96"/>
      <c r="L50" s="96"/>
      <c r="M50" s="99"/>
    </row>
    <row r="51" spans="1:13" x14ac:dyDescent="0.15">
      <c r="D51" s="97"/>
      <c r="E51" s="99" t="str">
        <f xml:space="preserve"> D12</f>
        <v>ST^τ (tats.)</v>
      </c>
      <c r="F51" s="100">
        <f xml:space="preserve"> F12</f>
        <v>6000</v>
      </c>
      <c r="G51" s="100">
        <f xml:space="preserve"> G12</f>
        <v>6400</v>
      </c>
      <c r="H51" s="100">
        <f xml:space="preserve"> H12</f>
        <v>6455</v>
      </c>
      <c r="I51" s="96"/>
      <c r="J51" s="96"/>
      <c r="K51" s="96"/>
      <c r="L51" s="96"/>
      <c r="M51" s="99"/>
    </row>
    <row r="52" spans="1:13" x14ac:dyDescent="0.15">
      <c r="D52" s="97"/>
      <c r="E52" s="99" t="str">
        <f xml:space="preserve"> E25</f>
        <v>∑ L^τ_x · k^t0_x</v>
      </c>
      <c r="F52" s="709">
        <f xml:space="preserve"> F25</f>
        <v>633.4</v>
      </c>
      <c r="G52" s="709">
        <f xml:space="preserve"> G25</f>
        <v>653.70000000000005</v>
      </c>
      <c r="H52" s="709">
        <f xml:space="preserve"> H25</f>
        <v>653.25</v>
      </c>
      <c r="I52" s="96"/>
      <c r="J52" s="96"/>
      <c r="K52" s="96"/>
      <c r="L52" s="231" t="s">
        <v>66</v>
      </c>
      <c r="M52" s="133" t="s">
        <v>67</v>
      </c>
    </row>
    <row r="53" spans="1:13" x14ac:dyDescent="0.15">
      <c r="A53" s="3">
        <f xml:space="preserve"> $A$34</f>
        <v>2</v>
      </c>
      <c r="D53" s="97"/>
      <c r="E53" s="99" t="s">
        <v>305</v>
      </c>
      <c r="F53" s="471">
        <f xml:space="preserve"> ROUND( F51 / F52, $A53 )</f>
        <v>9.4700000000000006</v>
      </c>
      <c r="G53" s="471">
        <f xml:space="preserve"> ROUND( G51 / G52, $A53 )</f>
        <v>9.7899999999999991</v>
      </c>
      <c r="H53" s="471">
        <f xml:space="preserve"> ROUND( H51 / H52, $A53 )</f>
        <v>9.8800000000000008</v>
      </c>
      <c r="I53" s="96"/>
      <c r="J53" s="96"/>
      <c r="K53" s="96"/>
      <c r="L53" s="710">
        <f xml:space="preserve"> 1/2 * ( H53 - F53 )</f>
        <v>0.20500000000000007</v>
      </c>
      <c r="M53" s="711">
        <f xml:space="preserve"> - L53 * ( G1 ) + 1/3 * SUM( F53:H53 )</f>
        <v>10.123333333333333</v>
      </c>
    </row>
    <row r="54" spans="1:13" x14ac:dyDescent="0.15">
      <c r="A54" s="3">
        <f xml:space="preserve"> $A$34</f>
        <v>2</v>
      </c>
      <c r="D54" s="97"/>
      <c r="E54" s="99" t="s">
        <v>75</v>
      </c>
      <c r="F54" s="471">
        <f xml:space="preserve"> ROUND( $L$53 * F$1 + $M$53, $A54 )</f>
        <v>9.51</v>
      </c>
      <c r="G54" s="471">
        <f xml:space="preserve"> ROUND( $L$53 * G$1 + $M$53, $A54 )</f>
        <v>9.7100000000000009</v>
      </c>
      <c r="H54" s="703">
        <f xml:space="preserve"> ROUND( $L$53 * H$1 + $M$53, $A54 )</f>
        <v>9.92</v>
      </c>
      <c r="I54" s="96"/>
      <c r="J54" s="703">
        <f xml:space="preserve"> ROUND( $L$53 * J$1 + $M$53, $A54 )</f>
        <v>10.33</v>
      </c>
      <c r="K54" s="96"/>
      <c r="L54" s="96"/>
      <c r="M54" s="99"/>
    </row>
    <row r="55" spans="1:13" x14ac:dyDescent="0.15">
      <c r="A55" s="3">
        <f xml:space="preserve"> $A$40</f>
        <v>4</v>
      </c>
      <c r="D55" s="97" t="s">
        <v>68</v>
      </c>
      <c r="E55" s="99"/>
      <c r="F55" s="96"/>
      <c r="G55" s="96"/>
      <c r="H55" s="96"/>
      <c r="I55" s="712" t="s">
        <v>72</v>
      </c>
      <c r="J55" s="713">
        <f xml:space="preserve"> ROUND( J54 / H54, $A55 )</f>
        <v>1.0412999999999999</v>
      </c>
      <c r="K55" s="96"/>
      <c r="L55" s="96"/>
      <c r="M55" s="99"/>
    </row>
    <row r="56" spans="1:13" x14ac:dyDescent="0.15">
      <c r="D56" s="97"/>
      <c r="E56" s="96"/>
      <c r="F56" s="96"/>
      <c r="G56" s="96"/>
      <c r="H56" s="471"/>
      <c r="I56" s="98"/>
      <c r="J56" s="96"/>
      <c r="K56" s="96"/>
      <c r="L56" s="96"/>
      <c r="M56" s="99"/>
    </row>
    <row r="57" spans="1:13" x14ac:dyDescent="0.15">
      <c r="D57" s="97"/>
      <c r="E57" s="96"/>
      <c r="F57" s="96"/>
      <c r="G57" s="96"/>
      <c r="H57" s="96"/>
      <c r="I57" s="98"/>
      <c r="J57" s="98" t="str">
        <f xml:space="preserve"> $A$10</f>
        <v>Grenzwert für Anpassung</v>
      </c>
      <c r="K57" s="704">
        <f xml:space="preserve"> $A$12</f>
        <v>0.1</v>
      </c>
      <c r="L57" s="96"/>
      <c r="M57" s="99"/>
    </row>
    <row r="58" spans="1:13" x14ac:dyDescent="0.15">
      <c r="A58" s="3">
        <f xml:space="preserve"> $A$40</f>
        <v>4</v>
      </c>
      <c r="D58" s="110" t="s">
        <v>69</v>
      </c>
      <c r="E58" s="111"/>
      <c r="F58" s="104"/>
      <c r="G58" s="104"/>
      <c r="H58" s="104"/>
      <c r="I58" s="130" t="str">
        <f xml:space="preserve"> I55</f>
        <v>=&gt;</v>
      </c>
      <c r="J58" s="705">
        <f xml:space="preserve"> ROUND( H48 * J55, $A58 )</f>
        <v>1.1433</v>
      </c>
      <c r="K58" s="706" t="str">
        <f xml:space="preserve"> IF( OR( J58&lt;1-K57, J58&gt;1+K57), $A$3, "keine" )</f>
        <v>Anp.</v>
      </c>
      <c r="L58" s="104"/>
      <c r="M58" s="111"/>
    </row>
    <row r="60" spans="1:13" x14ac:dyDescent="0.15">
      <c r="J60" s="59"/>
    </row>
    <row r="61" spans="1:13" x14ac:dyDescent="0.15">
      <c r="J61" s="59"/>
    </row>
  </sheetData>
  <mergeCells count="3">
    <mergeCell ref="A10:B11"/>
    <mergeCell ref="AD13:AD14"/>
    <mergeCell ref="AC4:AD10"/>
  </mergeCells>
  <phoneticPr fontId="2" type="noConversion"/>
  <conditionalFormatting sqref="AD26 K40 K58">
    <cfRule type="cellIs" dxfId="0" priority="1" stopIfTrue="1" operator="equal">
      <formula>$A$3</formula>
    </cfRule>
  </conditionalFormatting>
  <pageMargins left="0.78740157499999996" right="0.78740157499999996" top="0.984251969" bottom="0.984251969" header="0.4921259845" footer="0.4921259845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B85"/>
  <sheetViews>
    <sheetView showGridLines="0" tabSelected="1" topLeftCell="AQ1" zoomScale="110" zoomScaleNormal="110" workbookViewId="0">
      <selection activeCell="BA17" sqref="BA17"/>
    </sheetView>
  </sheetViews>
  <sheetFormatPr baseColWidth="10" defaultRowHeight="13" x14ac:dyDescent="0.15"/>
  <cols>
    <col min="1" max="2" width="10.83203125" style="2"/>
    <col min="3" max="3" width="8.83203125" style="2" customWidth="1"/>
    <col min="4" max="4" width="4.83203125" style="2" customWidth="1"/>
    <col min="5" max="5" width="8.83203125" style="2" customWidth="1"/>
    <col min="6" max="6" width="4.83203125" style="2" customWidth="1"/>
    <col min="7" max="28" width="8.83203125" style="2" customWidth="1"/>
    <col min="29" max="42" width="10.83203125" style="2"/>
    <col min="43" max="43" width="10.83203125" style="51"/>
    <col min="44" max="16384" width="10.83203125" style="2"/>
  </cols>
  <sheetData>
    <row r="2" spans="1:54" x14ac:dyDescent="0.15">
      <c r="C2" s="151" t="str">
        <f xml:space="preserve"> EING!$B$3</f>
        <v>Rundungsstellen</v>
      </c>
      <c r="D2" s="136"/>
      <c r="E2" s="136"/>
      <c r="F2" s="136"/>
      <c r="G2" s="136"/>
      <c r="H2" s="136"/>
      <c r="I2" s="733">
        <v>2</v>
      </c>
      <c r="J2" s="733">
        <v>0</v>
      </c>
      <c r="K2" s="136"/>
      <c r="L2" s="733">
        <v>2</v>
      </c>
      <c r="M2" s="733">
        <v>2</v>
      </c>
      <c r="N2" s="733">
        <v>2</v>
      </c>
      <c r="O2" s="734">
        <f xml:space="preserve"> Kx!AI4</f>
        <v>2</v>
      </c>
      <c r="P2" s="733">
        <v>2</v>
      </c>
      <c r="Q2" s="733">
        <v>2</v>
      </c>
      <c r="R2" s="733">
        <v>2</v>
      </c>
      <c r="S2" s="733">
        <v>2</v>
      </c>
      <c r="T2" s="136"/>
      <c r="U2" s="733">
        <v>2</v>
      </c>
      <c r="V2" s="733">
        <v>2</v>
      </c>
      <c r="W2" s="136"/>
      <c r="X2" s="733">
        <v>2</v>
      </c>
      <c r="Y2" s="733">
        <v>2</v>
      </c>
      <c r="Z2" s="733">
        <v>2</v>
      </c>
      <c r="AA2" s="733">
        <v>2</v>
      </c>
      <c r="AB2" s="733">
        <v>2</v>
      </c>
      <c r="AE2" s="151" t="str">
        <f xml:space="preserve"> EING!$B$3</f>
        <v>Rundungsstellen</v>
      </c>
      <c r="AF2" s="136"/>
      <c r="AG2" s="136"/>
      <c r="AH2" s="136"/>
      <c r="AI2" s="733">
        <v>2</v>
      </c>
      <c r="AJ2" s="136"/>
      <c r="AK2" s="136"/>
      <c r="AL2" s="136"/>
      <c r="AM2" s="136"/>
      <c r="AN2" s="136"/>
      <c r="AO2" s="136"/>
      <c r="AP2" s="136"/>
      <c r="AQ2" s="218"/>
    </row>
    <row r="3" spans="1:54" x14ac:dyDescent="0.15">
      <c r="C3" s="151" t="str">
        <f xml:space="preserve"> EING!$B$3</f>
        <v>Rundungsstellen</v>
      </c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733">
        <v>2</v>
      </c>
      <c r="O3" s="733">
        <v>2</v>
      </c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</row>
    <row r="5" spans="1:54" x14ac:dyDescent="0.15">
      <c r="K5" s="735"/>
    </row>
    <row r="6" spans="1:54" x14ac:dyDescent="0.15">
      <c r="C6" s="6"/>
      <c r="D6" s="9"/>
      <c r="E6" s="9"/>
      <c r="F6" s="9"/>
      <c r="G6" s="9"/>
      <c r="H6" s="9"/>
      <c r="I6" s="9"/>
      <c r="J6" s="21" t="s">
        <v>35</v>
      </c>
      <c r="K6" s="764">
        <v>2.5000000000000001E-2</v>
      </c>
      <c r="L6" s="9"/>
      <c r="M6" s="9"/>
      <c r="N6" s="9"/>
      <c r="O6" s="736"/>
      <c r="P6" s="9"/>
      <c r="Q6" s="9"/>
      <c r="R6" s="9"/>
      <c r="S6" s="9"/>
      <c r="T6" s="1023" t="str">
        <f xml:space="preserve"> Bx!CF7</f>
        <v>Δ_j/s</v>
      </c>
      <c r="U6" s="1023" t="str">
        <f xml:space="preserve"> Bx!CH7</f>
        <v>α^Z_x</v>
      </c>
      <c r="V6" s="1023" t="str">
        <f xml:space="preserve"> Bx!CJ7</f>
        <v>z_x</v>
      </c>
      <c r="W6" s="1023" t="str">
        <f xml:space="preserve"> Bx!CG7</f>
        <v>Δ~ ^r _j/s</v>
      </c>
      <c r="X6" s="1023" t="str">
        <f xml:space="preserve"> Bx!CI7</f>
        <v>B^Z ^r _j/s</v>
      </c>
      <c r="Y6" s="1023" t="str">
        <f xml:space="preserve"> Bx!BR22</f>
        <v>Γ _j/s</v>
      </c>
      <c r="Z6" s="1023" t="str">
        <f xml:space="preserve"> Bx!CK7</f>
        <v>P^Z_x</v>
      </c>
      <c r="AA6" s="1023" t="str">
        <f xml:space="preserve"> Bx!CT7</f>
        <v>B^Z _x</v>
      </c>
      <c r="AB6" s="1033" t="str">
        <f xml:space="preserve"> Bx!CU7</f>
        <v>B~^Z _x</v>
      </c>
    </row>
    <row r="7" spans="1:54" x14ac:dyDescent="0.15"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6"/>
      <c r="P7" s="12"/>
      <c r="Q7" s="12"/>
      <c r="R7" s="12"/>
      <c r="S7" s="12"/>
      <c r="T7" s="1024"/>
      <c r="U7" s="1024"/>
      <c r="V7" s="1024"/>
      <c r="W7" s="1024"/>
      <c r="X7" s="1024"/>
      <c r="Y7" s="1024"/>
      <c r="Z7" s="1024"/>
      <c r="AA7" s="1024"/>
      <c r="AB7" s="1034"/>
      <c r="AE7" s="1029" t="s">
        <v>300</v>
      </c>
      <c r="AF7" s="1030"/>
      <c r="AG7" s="1030"/>
      <c r="AH7" s="9"/>
      <c r="AI7" s="9"/>
      <c r="AJ7" s="9"/>
      <c r="AK7" s="9"/>
      <c r="AL7" s="9"/>
      <c r="AM7" s="9"/>
      <c r="AN7" s="7" t="s">
        <v>173</v>
      </c>
      <c r="AO7" s="9"/>
      <c r="AP7" s="10"/>
      <c r="AQ7" s="25"/>
      <c r="AS7" s="821" t="s">
        <v>161</v>
      </c>
      <c r="AT7" s="822"/>
      <c r="AU7" s="822"/>
      <c r="AV7" s="822"/>
      <c r="AW7" s="822"/>
      <c r="AX7" s="822"/>
      <c r="AY7" s="822"/>
      <c r="AZ7" s="822"/>
      <c r="BA7" s="822"/>
      <c r="BB7" s="823" t="s">
        <v>167</v>
      </c>
    </row>
    <row r="8" spans="1:54" x14ac:dyDescent="0.15">
      <c r="C8" s="22"/>
      <c r="D8" s="247" t="str">
        <f xml:space="preserve"> EING!B8</f>
        <v>x</v>
      </c>
      <c r="E8" s="247" t="str">
        <f xml:space="preserve"> EING!C8</f>
        <v>x_spez.</v>
      </c>
      <c r="F8" s="247" t="str">
        <f xml:space="preserve"> EING!E8</f>
        <v>j/s</v>
      </c>
      <c r="G8" s="247" t="str">
        <f xml:space="preserve"> sx!L8</f>
        <v>q_x</v>
      </c>
      <c r="H8" s="247" t="str">
        <f xml:space="preserve"> sx!M8</f>
        <v>w_x</v>
      </c>
      <c r="I8" s="247" t="str">
        <f xml:space="preserve"> sx!N8</f>
        <v>s_x</v>
      </c>
      <c r="J8" s="247" t="str">
        <f xml:space="preserve"> sx!O8</f>
        <v>l_x</v>
      </c>
      <c r="K8" s="247" t="str">
        <f xml:space="preserve"> Bx!D8</f>
        <v>v^x</v>
      </c>
      <c r="L8" s="247" t="str">
        <f xml:space="preserve"> Bx!E8</f>
        <v>D_x</v>
      </c>
      <c r="M8" s="247" t="str">
        <f xml:space="preserve"> Bx!F8</f>
        <v>N_x</v>
      </c>
      <c r="N8" s="247" t="str">
        <f xml:space="preserve"> Bx!G8</f>
        <v>a_x</v>
      </c>
      <c r="O8" s="247" t="str">
        <f xml:space="preserve"> Kx!BC8</f>
        <v>K_x</v>
      </c>
      <c r="P8" s="247" t="str">
        <f xml:space="preserve"> Bx!L8</f>
        <v>GO_x</v>
      </c>
      <c r="Q8" s="247" t="str">
        <f xml:space="preserve"> Bx!M8</f>
        <v>GU_x</v>
      </c>
      <c r="R8" s="247" t="str">
        <f xml:space="preserve"> Bx!N8</f>
        <v>GA_x</v>
      </c>
      <c r="S8" s="247" t="str">
        <f xml:space="preserve"> Bx!CE7</f>
        <v>P_x</v>
      </c>
      <c r="T8" s="1025"/>
      <c r="U8" s="1025"/>
      <c r="V8" s="1025"/>
      <c r="W8" s="1025"/>
      <c r="X8" s="1025"/>
      <c r="Y8" s="1025"/>
      <c r="Z8" s="1025"/>
      <c r="AA8" s="1025"/>
      <c r="AB8" s="1035"/>
      <c r="AE8" s="1031"/>
      <c r="AF8" s="1032"/>
      <c r="AG8" s="1032"/>
      <c r="AH8" s="12"/>
      <c r="AI8" s="747" t="s">
        <v>174</v>
      </c>
      <c r="AJ8" s="12"/>
      <c r="AK8" s="12"/>
      <c r="AL8" s="12"/>
      <c r="AM8" s="32"/>
      <c r="AN8" s="748" t="str">
        <f xml:space="preserve"> I59</f>
        <v>H~_1;3(i;j)</v>
      </c>
      <c r="AO8" s="12"/>
      <c r="AP8" s="13"/>
      <c r="AQ8" s="25"/>
      <c r="AS8" s="824"/>
      <c r="AT8" s="825"/>
      <c r="AU8" s="825"/>
      <c r="AV8" s="825"/>
      <c r="AW8" s="825"/>
      <c r="AX8" s="825"/>
      <c r="AY8" s="825"/>
      <c r="AZ8" s="825"/>
      <c r="BA8" s="825"/>
      <c r="BB8" s="826"/>
    </row>
    <row r="9" spans="1:54" x14ac:dyDescent="0.15">
      <c r="C9" s="11"/>
      <c r="D9" s="246"/>
      <c r="E9" s="246"/>
      <c r="F9" s="246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3"/>
      <c r="AE9" s="1031"/>
      <c r="AF9" s="1032"/>
      <c r="AG9" s="1032"/>
      <c r="AH9" s="12"/>
      <c r="AI9" s="16">
        <f xml:space="preserve"> Z21</f>
        <v>41.78</v>
      </c>
      <c r="AJ9" s="12"/>
      <c r="AK9" s="12"/>
      <c r="AL9" s="12"/>
      <c r="AM9" s="12"/>
      <c r="AN9" s="749">
        <f xml:space="preserve"> M59</f>
        <v>1.1499999999999999</v>
      </c>
      <c r="AO9" s="12"/>
      <c r="AP9" s="13"/>
      <c r="AQ9" s="25"/>
      <c r="AS9" s="847" t="str">
        <f xml:space="preserve"> "B~^vorLim_" &amp; $D$29 &amp; "/" &amp; $D$30 &amp; "(i^alt;i^neu)"</f>
        <v>B~^vorLim_1/3(i^alt;i^neu)</v>
      </c>
      <c r="AT9" s="848"/>
      <c r="AU9" s="848"/>
      <c r="AV9" s="825"/>
      <c r="AW9" s="825"/>
      <c r="AX9" s="825"/>
      <c r="AY9" s="825"/>
      <c r="AZ9" s="825"/>
      <c r="BA9" s="849">
        <f xml:space="preserve"> O51</f>
        <v>3.44</v>
      </c>
      <c r="BB9" s="826"/>
    </row>
    <row r="10" spans="1:54" x14ac:dyDescent="0.15">
      <c r="C10" s="1041" t="s">
        <v>65</v>
      </c>
      <c r="D10" s="761">
        <f xml:space="preserve"> EING!B10</f>
        <v>1</v>
      </c>
      <c r="E10" s="762" t="str">
        <f xml:space="preserve"> EING!C10</f>
        <v>x_α</v>
      </c>
      <c r="F10" s="761" t="str">
        <f xml:space="preserve"> EING!E10</f>
        <v>j</v>
      </c>
      <c r="G10" s="767">
        <f xml:space="preserve"> sx!L10</f>
        <v>0.01</v>
      </c>
      <c r="H10" s="767">
        <f xml:space="preserve"> sx!M10</f>
        <v>0.08</v>
      </c>
      <c r="I10" s="737">
        <f xml:space="preserve"> MIN( 1, G10 + H10 )</f>
        <v>0.09</v>
      </c>
      <c r="J10" s="768">
        <f xml:space="preserve"> sx!O10</f>
        <v>100</v>
      </c>
      <c r="K10" s="674">
        <f xml:space="preserve"> 1 / ( ( 1 +  $K$6 ) ^ D10 )</f>
        <v>0.97560975609756106</v>
      </c>
      <c r="L10" s="26">
        <f xml:space="preserve"> ROUND( J10 * K10, L$2 )</f>
        <v>97.56</v>
      </c>
      <c r="M10" s="26">
        <f xml:space="preserve"> ROUND( SUM( L10:L$14 ), M$2 )</f>
        <v>369.72</v>
      </c>
      <c r="N10" s="770">
        <f xml:space="preserve"> ROUND( M10 / $L10, N$2 )</f>
        <v>3.79</v>
      </c>
      <c r="O10" s="767">
        <f xml:space="preserve"> Kx!BC10</f>
        <v>10</v>
      </c>
      <c r="P10" s="26">
        <f xml:space="preserve"> ROUND( L10 * O10, P$2 )</f>
        <v>975.6</v>
      </c>
      <c r="Q10" s="26">
        <f xml:space="preserve"> ROUND( SUM( P10:P$14 ), Q$2 )</f>
        <v>6832.85</v>
      </c>
      <c r="R10" s="770">
        <f xml:space="preserve"> ROUND( Q10 / $L10, R$2 )</f>
        <v>70.040000000000006</v>
      </c>
      <c r="S10" s="26">
        <f xml:space="preserve"> ROUND( R10 / N10, S$2 )</f>
        <v>18.48</v>
      </c>
      <c r="T10" s="809">
        <f xml:space="preserve"> Bx!CF10</f>
        <v>0.106</v>
      </c>
      <c r="U10" s="763">
        <f xml:space="preserve"> Bx!CH10</f>
        <v>2</v>
      </c>
      <c r="V10" s="26">
        <f xml:space="preserve"> ROUND(   (  12 * N10 * ( 1 - T10 )  )  /  (  12 * N10 * ( 1 - T10 )  -  U10  ),  V$2  )</f>
        <v>1.05</v>
      </c>
      <c r="W10" s="809">
        <f xml:space="preserve"> Bx!CG10</f>
        <v>0.17</v>
      </c>
      <c r="X10" s="26">
        <f xml:space="preserve"> ROUND( $S$11 / ( 1 - T10 - W10 - $U$11 / ( 12 * $N$11 ) ),  X$2  )</f>
        <v>32.11</v>
      </c>
      <c r="Y10" s="26">
        <f xml:space="preserve"> ROUND( W10 * X10, Y$2 )</f>
        <v>5.46</v>
      </c>
      <c r="Z10" s="770">
        <f xml:space="preserve"> ROUND( S10 * V10 + ( V10 - 1 ) * Y10, Z$2 )</f>
        <v>19.68</v>
      </c>
      <c r="AA10" s="770">
        <f xml:space="preserve"> ROUND( ( Z10 + W10 * X10 ) / ( 1 - T10 ), AA$2 )</f>
        <v>28.12</v>
      </c>
      <c r="AB10" s="27">
        <f xml:space="preserve"> ROUND( AA10 / 12, AB$2 )</f>
        <v>2.34</v>
      </c>
      <c r="AE10" s="11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3"/>
      <c r="AQ10" s="25"/>
      <c r="AS10" s="824"/>
      <c r="AT10" s="825"/>
      <c r="AU10" s="825"/>
      <c r="AV10" s="825"/>
      <c r="AW10" s="825"/>
      <c r="AX10" s="825"/>
      <c r="AY10" s="825"/>
      <c r="AZ10" s="825"/>
      <c r="BA10" s="825"/>
      <c r="BB10" s="826"/>
    </row>
    <row r="11" spans="1:54" x14ac:dyDescent="0.15">
      <c r="A11" s="738"/>
      <c r="B11" s="738"/>
      <c r="C11" s="1041"/>
      <c r="D11" s="761">
        <f xml:space="preserve"> EING!B11</f>
        <v>2</v>
      </c>
      <c r="E11" s="762" t="str">
        <f xml:space="preserve"> EING!C11</f>
        <v>x_N</v>
      </c>
      <c r="F11" s="761" t="str">
        <f xml:space="preserve"> EING!E11</f>
        <v>j</v>
      </c>
      <c r="G11" s="767">
        <f xml:space="preserve"> sx!L11</f>
        <v>0.03</v>
      </c>
      <c r="H11" s="767">
        <f xml:space="preserve"> sx!M11</f>
        <v>0.08</v>
      </c>
      <c r="I11" s="737">
        <f xml:space="preserve"> MIN( 1, G11 + H11 )</f>
        <v>0.11</v>
      </c>
      <c r="J11" s="25">
        <f xml:space="preserve"> ROUND( J10 * ( 1 - I10), J$2 )</f>
        <v>91</v>
      </c>
      <c r="K11" s="674">
        <f xml:space="preserve"> 1 / ( ( 1 +  $K$6 ) ^ D11 )</f>
        <v>0.95181439619274244</v>
      </c>
      <c r="L11" s="26">
        <f xml:space="preserve"> ROUND( J11 * K11, L$2 )</f>
        <v>86.62</v>
      </c>
      <c r="M11" s="26">
        <f xml:space="preserve"> ROUND( SUM( L11:L$14 ), M$2 )</f>
        <v>272.16000000000003</v>
      </c>
      <c r="N11" s="770">
        <f xml:space="preserve"> ROUND( M11 / $L11, N$2 )</f>
        <v>3.14</v>
      </c>
      <c r="O11" s="767">
        <f xml:space="preserve"> Kx!BC11</f>
        <v>10</v>
      </c>
      <c r="P11" s="26">
        <f xml:space="preserve"> ROUND( L11 * O11, P$2 )</f>
        <v>866.2</v>
      </c>
      <c r="Q11" s="26">
        <f xml:space="preserve"> ROUND( SUM( P11:P$14 ), Q$2 )</f>
        <v>5857.25</v>
      </c>
      <c r="R11" s="770">
        <f xml:space="preserve"> ROUND( Q11 / $L11, R$2 )</f>
        <v>67.62</v>
      </c>
      <c r="S11" s="26">
        <f xml:space="preserve"> ROUND( R11 / N11, S$2 )</f>
        <v>21.54</v>
      </c>
      <c r="T11" s="809">
        <f xml:space="preserve"> Bx!CF11</f>
        <v>0.106</v>
      </c>
      <c r="U11" s="763">
        <f xml:space="preserve"> Bx!CH11</f>
        <v>2</v>
      </c>
      <c r="V11" s="26">
        <f xml:space="preserve"> ROUND(   (  12 * N11 * ( 1 - T11 )  )  /  (  12 * N11 * ( 1 - T11 )  -  U11  ),  V$2  )</f>
        <v>1.06</v>
      </c>
      <c r="W11" s="809">
        <f xml:space="preserve"> Bx!CG11</f>
        <v>0.17</v>
      </c>
      <c r="X11" s="26">
        <f xml:space="preserve"> ROUND( $S$11 / ( 1 - T11 - W11 - $U$11 / ( 12 * $N$11 ) ),  X$2  )</f>
        <v>32.11</v>
      </c>
      <c r="Y11" s="26">
        <f xml:space="preserve"> ROUND( W11 * X11, Y$2 )</f>
        <v>5.46</v>
      </c>
      <c r="Z11" s="770">
        <f xml:space="preserve"> ROUND( S11 * V11 + ( V11 - 1 ) * Y11, Z$2 )</f>
        <v>23.16</v>
      </c>
      <c r="AA11" s="770">
        <f xml:space="preserve"> ROUND( ( Z11 + W11 * X11 ) / ( 1 - T11 ), AA$2 )</f>
        <v>32.01</v>
      </c>
      <c r="AB11" s="27">
        <f xml:space="preserve"> ROUND( AA11 / 12, AB$2 )</f>
        <v>2.67</v>
      </c>
      <c r="AE11" s="11" t="s">
        <v>175</v>
      </c>
      <c r="AF11" s="12"/>
      <c r="AG11" s="12"/>
      <c r="AH11" s="13"/>
      <c r="AI11" s="12"/>
      <c r="AJ11" s="12"/>
      <c r="AK11" s="12"/>
      <c r="AL11" s="12"/>
      <c r="AM11" s="13"/>
      <c r="AN11" s="949" t="s">
        <v>176</v>
      </c>
      <c r="AO11" s="949" t="s">
        <v>177</v>
      </c>
      <c r="AP11" s="1046"/>
      <c r="AQ11" s="808"/>
      <c r="AS11" s="842" t="str">
        <f xml:space="preserve"> SUBSTITUTE( C54, "(i)", "(i^alt)" )</f>
        <v>B~^Z _1(i^alt)</v>
      </c>
      <c r="AT11" s="843"/>
      <c r="AU11" s="843"/>
      <c r="AV11" s="825"/>
      <c r="AW11" s="825"/>
      <c r="AX11" s="825"/>
      <c r="AY11" s="825"/>
      <c r="AZ11" s="825"/>
      <c r="BA11" s="841">
        <f xml:space="preserve"> G54</f>
        <v>2.34</v>
      </c>
      <c r="BB11" s="826"/>
    </row>
    <row r="12" spans="1:54" x14ac:dyDescent="0.15">
      <c r="A12" s="738"/>
      <c r="B12" s="738"/>
      <c r="C12" s="1041"/>
      <c r="D12" s="761">
        <f xml:space="preserve"> EING!B12</f>
        <v>3</v>
      </c>
      <c r="E12" s="762"/>
      <c r="F12" s="761" t="str">
        <f xml:space="preserve"> EING!E12</f>
        <v>j</v>
      </c>
      <c r="G12" s="767">
        <f xml:space="preserve"> sx!L12</f>
        <v>0.03</v>
      </c>
      <c r="H12" s="767">
        <f xml:space="preserve"> sx!M12</f>
        <v>7.0000000000000007E-2</v>
      </c>
      <c r="I12" s="737">
        <f xml:space="preserve"> MIN( 1, G12 + H12 )</f>
        <v>0.1</v>
      </c>
      <c r="J12" s="25">
        <f xml:space="preserve"> ROUND( J11 * ( 1 - I11), J$2 )</f>
        <v>81</v>
      </c>
      <c r="K12" s="674">
        <f xml:space="preserve"> 1 / ( ( 1 +  $K$6 ) ^ D12 )</f>
        <v>0.92859941091974885</v>
      </c>
      <c r="L12" s="26">
        <f xml:space="preserve"> ROUND( J12 * K12, L$2 )</f>
        <v>75.22</v>
      </c>
      <c r="M12" s="26">
        <f xml:space="preserve"> ROUND( SUM( L12:L$14 ), M$2 )</f>
        <v>185.54</v>
      </c>
      <c r="N12" s="770">
        <f xml:space="preserve"> ROUND( M12 / $L12, N$2 )</f>
        <v>2.4700000000000002</v>
      </c>
      <c r="O12" s="767">
        <f xml:space="preserve"> Kx!BC12</f>
        <v>15</v>
      </c>
      <c r="P12" s="26">
        <f xml:space="preserve"> ROUND( L12 * O12, P$2 )</f>
        <v>1128.3</v>
      </c>
      <c r="Q12" s="26">
        <f xml:space="preserve"> ROUND( SUM( P12:P$14 ), Q$2 )</f>
        <v>4991.05</v>
      </c>
      <c r="R12" s="770">
        <f xml:space="preserve"> ROUND( Q12 / $L12, R$2 )</f>
        <v>66.349999999999994</v>
      </c>
      <c r="S12" s="26">
        <f xml:space="preserve"> ROUND( R12 / N12, S$2 )</f>
        <v>26.86</v>
      </c>
      <c r="T12" s="809">
        <f xml:space="preserve"> Bx!CF12</f>
        <v>0.106</v>
      </c>
      <c r="U12" s="763">
        <f xml:space="preserve"> Bx!CH12</f>
        <v>2</v>
      </c>
      <c r="V12" s="26">
        <f xml:space="preserve"> ROUND(   (  12 * N12 * ( 1 - T12 )  )  /  (  12 * N12 * ( 1 - T12 )  -  U12  ),  V$2  )</f>
        <v>1.08</v>
      </c>
      <c r="W12" s="809">
        <f xml:space="preserve"> Bx!CG12</f>
        <v>0.17</v>
      </c>
      <c r="X12" s="26">
        <f xml:space="preserve"> ROUND( $S$11 / ( 1 - T12 - W12 - $U$11 / ( 12 * $N$11 ) ),  X$2  )</f>
        <v>32.11</v>
      </c>
      <c r="Y12" s="26">
        <f xml:space="preserve"> ROUND( W12 * X12, Y$2 )</f>
        <v>5.46</v>
      </c>
      <c r="Z12" s="770">
        <f xml:space="preserve"> ROUND( S12 * V12 + ( V12 - 1 ) * Y12, Z$2 )</f>
        <v>29.45</v>
      </c>
      <c r="AA12" s="770">
        <f xml:space="preserve"> ROUND( ( Z12 + W12 * X12 ) / ( 1 - T12 ), AA$2 )</f>
        <v>39.049999999999997</v>
      </c>
      <c r="AB12" s="27">
        <f xml:space="preserve"> ROUND( AA12 / 12, AB$2 )</f>
        <v>3.25</v>
      </c>
      <c r="AC12" s="58"/>
      <c r="AD12" s="58"/>
      <c r="AE12" s="11"/>
      <c r="AF12" s="12"/>
      <c r="AG12" s="949" t="str">
        <f xml:space="preserve"> SUBSTITUTE( R8 &amp; "+m+k", "_", "_ " )</f>
        <v>GA_ x+m+k</v>
      </c>
      <c r="AH12" s="953" t="str">
        <f xml:space="preserve"> SUBSTITUTE( N8 &amp; "+m+k", "_", "_ " )</f>
        <v>a_ x+m+k</v>
      </c>
      <c r="AI12" s="949" t="str">
        <f xml:space="preserve"> "V^Z_3; " &amp; AE13</f>
        <v>V^Z_3; x+m+k</v>
      </c>
      <c r="AJ12" s="12"/>
      <c r="AK12" s="949" t="str">
        <f xml:space="preserve"> T6</f>
        <v>Δ_j/s</v>
      </c>
      <c r="AL12" s="949" t="str">
        <f xml:space="preserve"> "1-" &amp; AK12</f>
        <v>1-Δ_j/s</v>
      </c>
      <c r="AM12" s="953" t="str">
        <f xml:space="preserve"> AH12</f>
        <v>a_ x+m+k</v>
      </c>
      <c r="AN12" s="949"/>
      <c r="AO12" s="961"/>
      <c r="AP12" s="1046"/>
      <c r="AQ12" s="808"/>
      <c r="AS12" s="824"/>
      <c r="AT12" s="825"/>
      <c r="AU12" s="825"/>
      <c r="AV12" s="825"/>
      <c r="AW12" s="825"/>
      <c r="AX12" s="825"/>
      <c r="AY12" s="825"/>
      <c r="AZ12" s="825"/>
      <c r="BA12" s="825"/>
      <c r="BB12" s="826"/>
    </row>
    <row r="13" spans="1:54" x14ac:dyDescent="0.15">
      <c r="A13" s="738"/>
      <c r="B13" s="738"/>
      <c r="C13" s="1041"/>
      <c r="D13" s="761">
        <f xml:space="preserve"> EING!B13</f>
        <v>4</v>
      </c>
      <c r="E13" s="762"/>
      <c r="F13" s="761" t="str">
        <f xml:space="preserve"> EING!E13</f>
        <v>s</v>
      </c>
      <c r="G13" s="767">
        <f xml:space="preserve"> sx!L13</f>
        <v>0.28999999999999998</v>
      </c>
      <c r="H13" s="767">
        <f xml:space="preserve"> sx!M13</f>
        <v>0.03</v>
      </c>
      <c r="I13" s="737">
        <f xml:space="preserve"> MIN( 1, G13 + H13 )</f>
        <v>0.31999999999999995</v>
      </c>
      <c r="J13" s="25">
        <f xml:space="preserve"> ROUND( J12 * ( 1 - I12), J$2 )</f>
        <v>73</v>
      </c>
      <c r="K13" s="674">
        <f xml:space="preserve"> 1 / ( ( 1 +  $K$6 ) ^ D13 )</f>
        <v>0.90595064479975507</v>
      </c>
      <c r="L13" s="26">
        <f xml:space="preserve"> ROUND( J13 * K13, L$2 )</f>
        <v>66.13</v>
      </c>
      <c r="M13" s="26">
        <f xml:space="preserve"> ROUND( SUM( L13:L$14 ), M$2 )</f>
        <v>110.32</v>
      </c>
      <c r="N13" s="770">
        <f xml:space="preserve"> ROUND( M13 / $L13, N$2 )</f>
        <v>1.67</v>
      </c>
      <c r="O13" s="767">
        <f xml:space="preserve"> Kx!BC13</f>
        <v>25</v>
      </c>
      <c r="P13" s="26">
        <f xml:space="preserve"> ROUND( L13 * O13, P$2 )</f>
        <v>1653.25</v>
      </c>
      <c r="Q13" s="26">
        <f xml:space="preserve"> ROUND( SUM( P13:P$14 ), Q$2 )</f>
        <v>3862.75</v>
      </c>
      <c r="R13" s="770">
        <f xml:space="preserve"> ROUND( Q13 / $L13, R$2 )</f>
        <v>58.41</v>
      </c>
      <c r="S13" s="26">
        <f xml:space="preserve"> ROUND( R13 / N13, S$2 )</f>
        <v>34.979999999999997</v>
      </c>
      <c r="T13" s="809">
        <f xml:space="preserve"> Bx!CF13</f>
        <v>0.106</v>
      </c>
      <c r="U13" s="763">
        <f xml:space="preserve"> Bx!CH13</f>
        <v>1</v>
      </c>
      <c r="V13" s="26">
        <f xml:space="preserve"> ROUND(   (  12 * N13 * ( 1 - T13 )  )  /  (  12 * N13 * ( 1 - T13 )  -  U13  ),  V$2  )</f>
        <v>1.06</v>
      </c>
      <c r="W13" s="809">
        <f xml:space="preserve"> Bx!CG13</f>
        <v>0.14000000000000001</v>
      </c>
      <c r="X13" s="26">
        <f xml:space="preserve"> ROUND( $S$11 / ( 1 - T13 - W13 - $U$11 / ( 12 * $N$11 ) ),  X$2  )</f>
        <v>30.73</v>
      </c>
      <c r="Y13" s="26">
        <f xml:space="preserve"> ROUND( W13 * X13, Y$2 )</f>
        <v>4.3</v>
      </c>
      <c r="Z13" s="770">
        <f xml:space="preserve"> ROUND( S13 * V13 + ( V13 - 1 ) * Y13, Z$2 )</f>
        <v>37.340000000000003</v>
      </c>
      <c r="AA13" s="770">
        <f xml:space="preserve"> ROUND( ( Z13 + W13 * X13 ) / ( 1 - T13 ), AA$2 )</f>
        <v>46.58</v>
      </c>
      <c r="AB13" s="27">
        <f xml:space="preserve"> ROUND( AA13 / 12, AB$2 )</f>
        <v>3.88</v>
      </c>
      <c r="AE13" s="22" t="s">
        <v>171</v>
      </c>
      <c r="AF13" s="12"/>
      <c r="AG13" s="951"/>
      <c r="AH13" s="954"/>
      <c r="AI13" s="951"/>
      <c r="AJ13" s="12"/>
      <c r="AK13" s="951"/>
      <c r="AL13" s="951"/>
      <c r="AM13" s="954"/>
      <c r="AN13" s="951"/>
      <c r="AO13" s="961"/>
      <c r="AP13" s="1046"/>
      <c r="AQ13" s="808"/>
      <c r="AS13" s="827" t="str">
        <f xml:space="preserve"> "I~^vorLim_" &amp; $D$29 &amp; "/" &amp; $D$30 &amp; "(i^alt;i^neu)"</f>
        <v>I~^vorLim_1/3(i^alt;i^neu)</v>
      </c>
      <c r="AT13" s="828"/>
      <c r="AU13" s="828"/>
      <c r="AV13" s="825"/>
      <c r="AW13" s="825"/>
      <c r="AX13" s="825"/>
      <c r="AY13" s="1039" t="str">
        <f xml:space="preserve"> E55</f>
        <v>3,44 - 2,34 =</v>
      </c>
      <c r="AZ13" s="1039"/>
      <c r="BA13" s="829">
        <f xml:space="preserve"> G55</f>
        <v>1.1000000000000001</v>
      </c>
      <c r="BB13" s="826"/>
    </row>
    <row r="14" spans="1:54" x14ac:dyDescent="0.15">
      <c r="C14" s="1041"/>
      <c r="D14" s="761">
        <f xml:space="preserve"> EING!B14</f>
        <v>5</v>
      </c>
      <c r="E14" s="762" t="str">
        <f xml:space="preserve"> EING!C14</f>
        <v>x_ω</v>
      </c>
      <c r="F14" s="761" t="str">
        <f xml:space="preserve"> EING!E14</f>
        <v>s</v>
      </c>
      <c r="G14" s="767">
        <f xml:space="preserve"> sx!L14</f>
        <v>1</v>
      </c>
      <c r="H14" s="767">
        <f xml:space="preserve"> sx!M14</f>
        <v>0</v>
      </c>
      <c r="I14" s="737">
        <f xml:space="preserve"> MIN( 1, G14 + H14 )</f>
        <v>1</v>
      </c>
      <c r="J14" s="25">
        <f xml:space="preserve"> ROUND( J13 * ( 1 - I13), J$2 )</f>
        <v>50</v>
      </c>
      <c r="K14" s="674">
        <f xml:space="preserve"> 1 / ( ( 1 +  $K$6 ) ^ D14 )</f>
        <v>0.88385428760951712</v>
      </c>
      <c r="L14" s="26">
        <f xml:space="preserve"> ROUND( J14 * K14, L$2 )</f>
        <v>44.19</v>
      </c>
      <c r="M14" s="26">
        <f xml:space="preserve"> ROUND( SUM( L14:L$14 ), M$2 )</f>
        <v>44.19</v>
      </c>
      <c r="N14" s="770">
        <f xml:space="preserve"> ROUND( M14 / $L14, N$2 )</f>
        <v>1</v>
      </c>
      <c r="O14" s="767">
        <f xml:space="preserve"> Kx!BC14</f>
        <v>50</v>
      </c>
      <c r="P14" s="26">
        <f xml:space="preserve"> ROUND( L14 * O14, P$2 )</f>
        <v>2209.5</v>
      </c>
      <c r="Q14" s="26">
        <f xml:space="preserve"> ROUND( SUM( P14:P$14 ), Q$2 )</f>
        <v>2209.5</v>
      </c>
      <c r="R14" s="770">
        <f xml:space="preserve"> ROUND( Q14 / $L14, R$2 )</f>
        <v>50</v>
      </c>
      <c r="S14" s="26">
        <f xml:space="preserve"> ROUND( R14 / N14, S$2 )</f>
        <v>50</v>
      </c>
      <c r="T14" s="809">
        <f xml:space="preserve"> Bx!CF14</f>
        <v>0.106</v>
      </c>
      <c r="U14" s="763">
        <f xml:space="preserve"> Bx!CH14</f>
        <v>0</v>
      </c>
      <c r="V14" s="26">
        <f xml:space="preserve"> ROUND(   (  12 * N14 * ( 1 - T14 )  )  /  (  12 * N14 * ( 1 - T14 )  -  U14  ),  V$2  )</f>
        <v>1</v>
      </c>
      <c r="W14" s="809">
        <f xml:space="preserve"> Bx!CG14</f>
        <v>0.14000000000000001</v>
      </c>
      <c r="X14" s="26">
        <f xml:space="preserve"> ROUND( $S$11 / ( 1 - T14 - W14 - $U$11 / ( 12 * $N$11 ) ),  X$2  )</f>
        <v>30.73</v>
      </c>
      <c r="Y14" s="26">
        <f xml:space="preserve"> ROUND( W14 * X14, Y$2 )</f>
        <v>4.3</v>
      </c>
      <c r="Z14" s="770">
        <f xml:space="preserve"> ROUND( S14 * V14 + ( V14 - 1 ) * Y14, Z$2 )</f>
        <v>50</v>
      </c>
      <c r="AA14" s="770">
        <f xml:space="preserve"> ROUND( ( Z14 + W14 * X14 ) / ( 1 - T14 ), AA$2 )</f>
        <v>60.74</v>
      </c>
      <c r="AB14" s="27">
        <f xml:space="preserve"> ROUND( AA14 / 12, AB$2 )</f>
        <v>5.0599999999999996</v>
      </c>
      <c r="AE14" s="11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0"/>
      <c r="AQ14" s="25"/>
      <c r="AS14" s="831" t="str">
        <f xml:space="preserve"> "p" &amp; SUBSTITUTE( AS13, "~", "")</f>
        <v>pI^vorLim_1/3(i^alt;i^neu)</v>
      </c>
      <c r="AT14" s="832"/>
      <c r="AU14" s="832"/>
      <c r="AV14" s="833"/>
      <c r="AW14" s="833"/>
      <c r="AX14" s="833"/>
      <c r="AY14" s="1040" t="str">
        <f xml:space="preserve"> TEXT( BA13, "#.##0,00" ) &amp; " / " &amp; TEXT( G54, "#.##0,00" ) &amp; " ="</f>
        <v>1,10 / 2,34 =</v>
      </c>
      <c r="AZ14" s="1040"/>
      <c r="BA14" s="834">
        <f xml:space="preserve"> BA13 / G54</f>
        <v>0.47008547008547014</v>
      </c>
      <c r="BB14" s="835"/>
    </row>
    <row r="15" spans="1:54" x14ac:dyDescent="0.15"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810"/>
      <c r="U15" s="12"/>
      <c r="V15" s="12"/>
      <c r="W15" s="810"/>
      <c r="X15" s="12"/>
      <c r="Y15" s="12"/>
      <c r="Z15" s="12"/>
      <c r="AA15" s="12"/>
      <c r="AB15" s="13"/>
      <c r="AE15" s="11">
        <v>3</v>
      </c>
      <c r="AF15" s="12"/>
      <c r="AG15" s="16">
        <f xml:space="preserve"> R21</f>
        <v>90.65</v>
      </c>
      <c r="AH15" s="300">
        <f xml:space="preserve"> N21</f>
        <v>2.5099999999999998</v>
      </c>
      <c r="AI15" s="16">
        <f xml:space="preserve"> ROUND( AG15 - AH15 * AI$9, $AI$2 )</f>
        <v>-14.22</v>
      </c>
      <c r="AJ15" s="12"/>
      <c r="AK15" s="817">
        <f xml:space="preserve"> T21</f>
        <v>0.106</v>
      </c>
      <c r="AL15" s="810">
        <f xml:space="preserve"> 1 - AK15</f>
        <v>0.89400000000000002</v>
      </c>
      <c r="AM15" s="300">
        <f xml:space="preserve"> AH15</f>
        <v>2.5099999999999998</v>
      </c>
      <c r="AN15" s="19">
        <f xml:space="preserve"> ROUND(  12 * AL15 * AM15 * AN$9, $AI$2 )</f>
        <v>30.97</v>
      </c>
      <c r="AO15" s="12"/>
      <c r="AP15" s="300">
        <f xml:space="preserve"> AI15 + AN15</f>
        <v>16.75</v>
      </c>
      <c r="AQ15" s="820"/>
      <c r="AS15" s="830"/>
      <c r="AT15" s="830"/>
      <c r="AU15" s="830"/>
      <c r="AV15" s="830"/>
      <c r="AW15" s="830"/>
      <c r="AX15" s="830"/>
      <c r="AY15" s="830"/>
      <c r="AZ15" s="830"/>
      <c r="BA15" s="830"/>
      <c r="BB15" s="830"/>
    </row>
    <row r="16" spans="1:54" x14ac:dyDescent="0.15"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810"/>
      <c r="U16" s="12"/>
      <c r="V16" s="12"/>
      <c r="W16" s="810"/>
      <c r="X16" s="12"/>
      <c r="Y16" s="12"/>
      <c r="Z16" s="12"/>
      <c r="AA16" s="12"/>
      <c r="AB16" s="13"/>
      <c r="AE16" s="11">
        <v>4</v>
      </c>
      <c r="AF16" s="12"/>
      <c r="AG16" s="16">
        <f xml:space="preserve"> R22</f>
        <v>77.7</v>
      </c>
      <c r="AH16" s="300">
        <f xml:space="preserve"> N22</f>
        <v>1.71</v>
      </c>
      <c r="AI16" s="16">
        <f xml:space="preserve"> ROUND( AG16 - AH16 * AI$9, $AI$2 )</f>
        <v>6.26</v>
      </c>
      <c r="AJ16" s="12"/>
      <c r="AK16" s="817">
        <f xml:space="preserve"> T22</f>
        <v>0.106</v>
      </c>
      <c r="AL16" s="810">
        <f xml:space="preserve"> 1 - AK16</f>
        <v>0.89400000000000002</v>
      </c>
      <c r="AM16" s="300">
        <f xml:space="preserve"> AH16</f>
        <v>1.71</v>
      </c>
      <c r="AN16" s="19">
        <f xml:space="preserve"> ROUND(  12 * AL16 * AM16 * AN$9, $AI$2 )</f>
        <v>21.1</v>
      </c>
      <c r="AO16" s="12"/>
      <c r="AP16" s="300">
        <f xml:space="preserve"> AI16 + AN16</f>
        <v>27.36</v>
      </c>
      <c r="AQ16" s="820"/>
      <c r="AS16" s="821" t="s">
        <v>58</v>
      </c>
      <c r="AT16" s="822"/>
      <c r="AU16" s="822"/>
      <c r="AV16" s="822"/>
      <c r="AW16" s="822"/>
      <c r="AX16" s="822"/>
      <c r="AY16" s="822"/>
      <c r="AZ16" s="822"/>
      <c r="BA16" s="822"/>
      <c r="BB16" s="845"/>
    </row>
    <row r="17" spans="1:54" x14ac:dyDescent="0.15">
      <c r="C17" s="11"/>
      <c r="D17" s="12"/>
      <c r="E17" s="12"/>
      <c r="F17" s="12"/>
      <c r="G17" s="12"/>
      <c r="H17" s="12"/>
      <c r="I17" s="12"/>
      <c r="J17" s="247" t="s">
        <v>35</v>
      </c>
      <c r="K17" s="769">
        <f xml:space="preserve"> IF( TRIM($A$20)&lt;&gt;"", K6, K79 )</f>
        <v>0.02</v>
      </c>
      <c r="L17" s="12"/>
      <c r="M17" s="12"/>
      <c r="N17" s="12"/>
      <c r="O17" s="12"/>
      <c r="P17" s="12"/>
      <c r="Q17" s="12"/>
      <c r="R17" s="12"/>
      <c r="S17" s="12"/>
      <c r="T17" s="810"/>
      <c r="U17" s="12"/>
      <c r="V17" s="12"/>
      <c r="W17" s="810"/>
      <c r="X17" s="12"/>
      <c r="Y17" s="12"/>
      <c r="Z17" s="12"/>
      <c r="AA17" s="12"/>
      <c r="AB17" s="13"/>
      <c r="AE17" s="28">
        <v>5</v>
      </c>
      <c r="AF17" s="32"/>
      <c r="AG17" s="746">
        <f xml:space="preserve"> R23</f>
        <v>60</v>
      </c>
      <c r="AH17" s="750">
        <f xml:space="preserve"> N23</f>
        <v>1</v>
      </c>
      <c r="AI17" s="746">
        <f xml:space="preserve"> ROUND( AG17 - AH17 * AI$9, $AI$2 )</f>
        <v>18.22</v>
      </c>
      <c r="AJ17" s="32"/>
      <c r="AK17" s="818">
        <f xml:space="preserve"> T23</f>
        <v>0.106</v>
      </c>
      <c r="AL17" s="819">
        <f xml:space="preserve"> 1 - AK17</f>
        <v>0.89400000000000002</v>
      </c>
      <c r="AM17" s="750">
        <f xml:space="preserve"> AH17</f>
        <v>1</v>
      </c>
      <c r="AN17" s="31">
        <f xml:space="preserve"> ROUND(  12 * AL17 * AM17 * AN$9, $AI$2 )</f>
        <v>12.34</v>
      </c>
      <c r="AO17" s="32"/>
      <c r="AP17" s="750">
        <f xml:space="preserve"> AI17 + AN17</f>
        <v>30.56</v>
      </c>
      <c r="AQ17" s="820"/>
      <c r="AS17" s="827" t="str">
        <f xml:space="preserve"> SUBSTITUTE( AS13, "vorLim", "max" )</f>
        <v>I~^max_1/3(i^alt;i^neu)</v>
      </c>
      <c r="AT17" s="828"/>
      <c r="AU17" s="828"/>
      <c r="AV17" s="12"/>
      <c r="AW17" s="844"/>
      <c r="AX17" s="844"/>
      <c r="AY17" s="844"/>
      <c r="AZ17" s="844"/>
      <c r="BA17" s="850">
        <v>999</v>
      </c>
      <c r="BB17" s="826"/>
    </row>
    <row r="18" spans="1:54" x14ac:dyDescent="0.15"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810"/>
      <c r="U18" s="12"/>
      <c r="V18" s="12"/>
      <c r="W18" s="810"/>
      <c r="X18" s="12"/>
      <c r="Y18" s="12"/>
      <c r="Z18" s="12"/>
      <c r="AA18" s="12"/>
      <c r="AB18" s="13"/>
      <c r="AS18" s="827" t="str">
        <f xml:space="preserve"> SUBSTITUTE( AS14, "vorLim", "max" )</f>
        <v>pI^max_1/3(i^alt;i^neu)</v>
      </c>
      <c r="AT18" s="828"/>
      <c r="AU18" s="828"/>
      <c r="AV18" s="844"/>
      <c r="AW18" s="844"/>
      <c r="AX18" s="844"/>
      <c r="AY18" s="844"/>
      <c r="AZ18" s="844"/>
      <c r="BA18" s="846">
        <v>0.999</v>
      </c>
      <c r="BB18" s="826"/>
    </row>
    <row r="19" spans="1:54" x14ac:dyDescent="0.15">
      <c r="A19" s="4" t="s">
        <v>57</v>
      </c>
      <c r="C19" s="1036" t="str">
        <f xml:space="preserve"> IF( TRIM($A$20)&lt;&gt;"", C10, C81 )</f>
        <v>Tarif j (i^neu)</v>
      </c>
      <c r="D19" s="12">
        <f xml:space="preserve"> D10</f>
        <v>1</v>
      </c>
      <c r="E19" s="12"/>
      <c r="F19" s="12"/>
      <c r="G19" s="765">
        <f t="shared" ref="G19:H23" si="0" xml:space="preserve"> IF( TRIM($A$20)&lt;&gt;"", G10, G81 )</f>
        <v>0.01</v>
      </c>
      <c r="H19" s="765">
        <f t="shared" si="0"/>
        <v>0.09</v>
      </c>
      <c r="I19" s="737">
        <f xml:space="preserve"> MIN( 1, G19 + H19 )</f>
        <v>9.9999999999999992E-2</v>
      </c>
      <c r="J19" s="25">
        <f xml:space="preserve"> J10</f>
        <v>100</v>
      </c>
      <c r="K19" s="674">
        <f xml:space="preserve"> 1 / ( ( 1 +  $K$17 ) ^ D19 )</f>
        <v>0.98039215686274506</v>
      </c>
      <c r="L19" s="26">
        <f xml:space="preserve"> ROUND( J19 * K19, L$2 )</f>
        <v>98.04</v>
      </c>
      <c r="M19" s="26">
        <f xml:space="preserve"> ROUND( SUM( L19:L$23 ), M$2 )</f>
        <v>376.32</v>
      </c>
      <c r="N19" s="771">
        <f xml:space="preserve"> ROUND( M19 / $L19, N$2 )</f>
        <v>3.84</v>
      </c>
      <c r="O19" s="765">
        <f xml:space="preserve"> IF( TRIM($A$20)&lt;&gt;"", O10, O81 )</f>
        <v>11</v>
      </c>
      <c r="P19" s="26">
        <f xml:space="preserve"> ROUND( L19 * O19, P$2 )</f>
        <v>1078.44</v>
      </c>
      <c r="Q19" s="26">
        <f xml:space="preserve"> ROUND( SUM( P19:P$23 ), Q$2 )</f>
        <v>8949.7099999999991</v>
      </c>
      <c r="R19" s="26">
        <f xml:space="preserve"> ROUND( Q19 / $L19, R$2 )</f>
        <v>91.29</v>
      </c>
      <c r="S19" s="771">
        <f xml:space="preserve"> ROUND( R19 / N19, S$2 )</f>
        <v>23.77</v>
      </c>
      <c r="T19" s="811">
        <f xml:space="preserve"> T10</f>
        <v>0.106</v>
      </c>
      <c r="U19" s="765">
        <f xml:space="preserve"> IF( TRIM($A$20)&lt;&gt;"", U10, U81 )</f>
        <v>3</v>
      </c>
      <c r="V19" s="26">
        <f xml:space="preserve"> ROUND(   (  12 * N19 * ( 1 - T19 )  )  /  (  12 * N19 * ( 1 - T19 )  -  U19  ),  V$2  )</f>
        <v>1.08</v>
      </c>
      <c r="W19" s="813">
        <f xml:space="preserve"> W10</f>
        <v>0.17</v>
      </c>
      <c r="X19" s="26">
        <f xml:space="preserve"> ROUND( $S$20 / ( 1 - T19 - W19 - $U$20 / ( 12 * $N$20 ) ),  X$2  )</f>
        <v>43.72</v>
      </c>
      <c r="Y19" s="771">
        <f xml:space="preserve"> ROUND( W19 * X19, Y$2 )</f>
        <v>7.43</v>
      </c>
      <c r="Z19" s="26">
        <f xml:space="preserve"> ROUND( S19 * V19 + ( V19 - 1 ) * Y19, Z$2 )</f>
        <v>26.27</v>
      </c>
      <c r="AA19" s="771">
        <f xml:space="preserve"> ROUND( ( Z19 + W19 * X19 ) / ( 1 - T19 ), AA$2 )</f>
        <v>37.700000000000003</v>
      </c>
      <c r="AB19" s="27">
        <f xml:space="preserve"> ROUND( AA19 / 12, AB$2 )</f>
        <v>3.14</v>
      </c>
      <c r="AE19" s="58"/>
      <c r="AF19" s="58"/>
      <c r="AS19" s="11"/>
      <c r="AT19" s="12"/>
      <c r="AU19" s="12"/>
      <c r="AV19" s="12"/>
      <c r="AW19" s="12"/>
      <c r="AX19" s="12"/>
      <c r="AY19" s="12"/>
      <c r="AZ19" s="12"/>
      <c r="BA19" s="12"/>
      <c r="BB19" s="13"/>
    </row>
    <row r="20" spans="1:54" x14ac:dyDescent="0.15">
      <c r="A20" s="681"/>
      <c r="C20" s="1037"/>
      <c r="D20" s="12">
        <f xml:space="preserve"> D11</f>
        <v>2</v>
      </c>
      <c r="E20" s="12"/>
      <c r="F20" s="12"/>
      <c r="G20" s="765">
        <f t="shared" si="0"/>
        <v>0.02</v>
      </c>
      <c r="H20" s="765">
        <f t="shared" si="0"/>
        <v>0.08</v>
      </c>
      <c r="I20" s="737">
        <f xml:space="preserve"> MIN( 1, G20 + H20 )</f>
        <v>0.1</v>
      </c>
      <c r="J20" s="25">
        <f xml:space="preserve"> ROUND( J19 * ( 1 - I19), J$2 )</f>
        <v>90</v>
      </c>
      <c r="K20" s="674">
        <f xml:space="preserve"> 1 / ( ( 1 +  $K$17 ) ^ D20 )</f>
        <v>0.96116878123798544</v>
      </c>
      <c r="L20" s="26">
        <f xml:space="preserve"> ROUND( J20 * K20, L$2 )</f>
        <v>86.51</v>
      </c>
      <c r="M20" s="26">
        <f xml:space="preserve"> ROUND( SUM( L20:L$23 ), M$2 )</f>
        <v>278.27999999999997</v>
      </c>
      <c r="N20" s="771">
        <f xml:space="preserve"> ROUND( M20 / $L20, N$2 )</f>
        <v>3.22</v>
      </c>
      <c r="O20" s="765">
        <f xml:space="preserve"> IF( TRIM($A$20)&lt;&gt;"", O11, O82 )</f>
        <v>11</v>
      </c>
      <c r="P20" s="26">
        <f xml:space="preserve"> ROUND( L20 * O20, P$2 )</f>
        <v>951.61</v>
      </c>
      <c r="Q20" s="26">
        <f xml:space="preserve"> ROUND( SUM( P20:P$23 ), Q$2 )</f>
        <v>7871.27</v>
      </c>
      <c r="R20" s="26">
        <f xml:space="preserve"> ROUND( Q20 / $L20, R$2 )</f>
        <v>90.99</v>
      </c>
      <c r="S20" s="771">
        <f xml:space="preserve"> ROUND( R20 / N20, S$2 )</f>
        <v>28.26</v>
      </c>
      <c r="T20" s="811">
        <f xml:space="preserve"> T11</f>
        <v>0.106</v>
      </c>
      <c r="U20" s="765">
        <f xml:space="preserve"> IF( TRIM($A$20)&lt;&gt;"", U11, U82 )</f>
        <v>3</v>
      </c>
      <c r="V20" s="26">
        <f xml:space="preserve"> ROUND(   (  12 * N20 * ( 1 - T20 )  )  /  (  12 * N20 * ( 1 - T20 )  -  U20  ),  V$2  )</f>
        <v>1.1000000000000001</v>
      </c>
      <c r="W20" s="813">
        <f xml:space="preserve"> W11</f>
        <v>0.17</v>
      </c>
      <c r="X20" s="26">
        <f xml:space="preserve"> ROUND( $S$20 / ( 1 - T20 - W20 - $U$20 / ( 12 * $N$20 ) ),  X$2  )</f>
        <v>43.72</v>
      </c>
      <c r="Y20" s="771">
        <f xml:space="preserve"> ROUND( W20 * X20, Y$2 )</f>
        <v>7.43</v>
      </c>
      <c r="Z20" s="26">
        <f xml:space="preserve"> ROUND( S20 * V20 + ( V20 - 1 ) * Y20, Z$2 )</f>
        <v>31.83</v>
      </c>
      <c r="AA20" s="771">
        <f xml:space="preserve"> ROUND( ( Z20 + W20 * X20 ) / ( 1 - T20 ), AA$2 )</f>
        <v>43.92</v>
      </c>
      <c r="AB20" s="27">
        <f xml:space="preserve"> ROUND( AA20 / 12, AB$2 )</f>
        <v>3.66</v>
      </c>
      <c r="AS20" s="856"/>
      <c r="AT20" s="857"/>
      <c r="AU20" s="857"/>
      <c r="AV20" s="857"/>
      <c r="AW20" s="857"/>
      <c r="AX20" s="857"/>
      <c r="AY20" s="278"/>
      <c r="AZ20" s="857"/>
      <c r="BA20" s="857"/>
      <c r="BB20" s="858" t="str">
        <f xml:space="preserve"> AS16 &amp; " auf " &amp; TEXT( BA17, "#.##0,00") &amp; " Euro" &amp; " / " &amp; TEXT( BA18 * 100, "0,0") &amp; " Prozent"</f>
        <v>Limitierung auf 999,00 Euro / 99,9 Prozent</v>
      </c>
    </row>
    <row r="21" spans="1:54" x14ac:dyDescent="0.15">
      <c r="C21" s="1037"/>
      <c r="D21" s="12">
        <f xml:space="preserve"> D12</f>
        <v>3</v>
      </c>
      <c r="E21" s="12"/>
      <c r="F21" s="12"/>
      <c r="G21" s="765">
        <f t="shared" si="0"/>
        <v>0.03</v>
      </c>
      <c r="H21" s="765">
        <f t="shared" si="0"/>
        <v>7.0000000000000007E-2</v>
      </c>
      <c r="I21" s="737">
        <f xml:space="preserve"> MIN( 1, G21 + H21 )</f>
        <v>0.1</v>
      </c>
      <c r="J21" s="25">
        <f xml:space="preserve"> ROUND( J20 * ( 1 - I20), J$2 )</f>
        <v>81</v>
      </c>
      <c r="K21" s="674">
        <f xml:space="preserve"> 1 / ( ( 1 +  $K$17 ) ^ D21 )</f>
        <v>0.94232233454704462</v>
      </c>
      <c r="L21" s="26">
        <f xml:space="preserve"> ROUND( J21 * K21, L$2 )</f>
        <v>76.33</v>
      </c>
      <c r="M21" s="26">
        <f xml:space="preserve"> ROUND( SUM( L21:L$23 ), M$2 )</f>
        <v>191.77</v>
      </c>
      <c r="N21" s="771">
        <f xml:space="preserve"> ROUND( M21 / $L21, N$2 )</f>
        <v>2.5099999999999998</v>
      </c>
      <c r="O21" s="765">
        <f xml:space="preserve"> IF( TRIM($A$20)&lt;&gt;"", O12, O83 )</f>
        <v>22</v>
      </c>
      <c r="P21" s="26">
        <f xml:space="preserve"> ROUND( L21 * O21, P$2 )</f>
        <v>1679.26</v>
      </c>
      <c r="Q21" s="26">
        <f xml:space="preserve"> ROUND( SUM( P21:P$23 ), Q$2 )</f>
        <v>6919.66</v>
      </c>
      <c r="R21" s="26">
        <f xml:space="preserve"> ROUND( Q21 / $L21, R$2 )</f>
        <v>90.65</v>
      </c>
      <c r="S21" s="771">
        <f xml:space="preserve"> ROUND( R21 / N21, S$2 )</f>
        <v>36.119999999999997</v>
      </c>
      <c r="T21" s="811">
        <f xml:space="preserve"> T12</f>
        <v>0.106</v>
      </c>
      <c r="U21" s="765">
        <f xml:space="preserve"> IF( TRIM($A$20)&lt;&gt;"", U12, U83 )</f>
        <v>3</v>
      </c>
      <c r="V21" s="26">
        <f xml:space="preserve"> ROUND(   (  12 * N21 * ( 1 - T21 )  )  /  (  12 * N21 * ( 1 - T21 )  -  U21  ),  V$2  )</f>
        <v>1.1299999999999999</v>
      </c>
      <c r="W21" s="813">
        <f xml:space="preserve"> W12</f>
        <v>0.17</v>
      </c>
      <c r="X21" s="26">
        <f xml:space="preserve"> ROUND( $S$20 / ( 1 - T21 - W21 - $U$20 / ( 12 * $N$20 ) ),  X$2  )</f>
        <v>43.72</v>
      </c>
      <c r="Y21" s="771">
        <f xml:space="preserve"> ROUND( W21 * X21, Y$2 )</f>
        <v>7.43</v>
      </c>
      <c r="Z21" s="26">
        <f xml:space="preserve"> ROUND( S21 * V21 + ( V21 - 1 ) * Y21, Z$2 )</f>
        <v>41.78</v>
      </c>
      <c r="AA21" s="771">
        <f xml:space="preserve"> ROUND( ( Z21 + W21 * X21 ) / ( 1 - T21 ), AA$2 )</f>
        <v>55.05</v>
      </c>
      <c r="AB21" s="27">
        <f xml:space="preserve"> ROUND( AA21 / 12, AB$2 )</f>
        <v>4.59</v>
      </c>
      <c r="AD21" s="58"/>
      <c r="AE21" s="58"/>
      <c r="AS21" s="827" t="str">
        <f xml:space="preserve"> SUBSTITUTE( AS9, "B~^vor", "R~^" )</f>
        <v>R~^Lim_1/3(i^alt;i^neu)</v>
      </c>
      <c r="AT21" s="828"/>
      <c r="AU21" s="828"/>
      <c r="AV21" s="851"/>
      <c r="AW21" s="852"/>
      <c r="AX21" s="852"/>
      <c r="AY21" s="852"/>
      <c r="AZ21" s="852"/>
      <c r="BA21" s="836" t="str">
        <f xml:space="preserve"> "MAX(  [ " &amp; TEXT( BA13, "#.##0,00" ) &amp; " - " &amp; TEXT( BA17, "#.##0,00" ) &amp; " ]  ;  [ " &amp; TEXT( BA13, "#.##0,00" ) &amp; " - " &amp; TEXT( BA18, "#.##0,0 %" ) &amp; " · " &amp; TEXT( BA11, "#.##0,00" ) &amp; " ]  ;  [ 0 ]  ) ="</f>
        <v>MAX(  [ 1,10 - 999,00 ]  ;  [ 1,10 - 99,9 % · 2,34 ]  ;  [ 0 ]  ) =</v>
      </c>
      <c r="BB21" s="837">
        <f xml:space="preserve"> ROUND( MAX( BA13 - BA17, BA13 - BA18 * BA11, 0 ), 2 )</f>
        <v>0</v>
      </c>
    </row>
    <row r="22" spans="1:54" x14ac:dyDescent="0.15">
      <c r="C22" s="1037"/>
      <c r="D22" s="12">
        <f xml:space="preserve"> D13</f>
        <v>4</v>
      </c>
      <c r="E22" s="12"/>
      <c r="F22" s="12"/>
      <c r="G22" s="765">
        <f t="shared" si="0"/>
        <v>0.25</v>
      </c>
      <c r="H22" s="765">
        <f t="shared" si="0"/>
        <v>0.02</v>
      </c>
      <c r="I22" s="737">
        <f xml:space="preserve"> MIN( 1, G22 + H22 )</f>
        <v>0.27</v>
      </c>
      <c r="J22" s="25">
        <f xml:space="preserve"> ROUND( J21 * ( 1 - I21), J$2 )</f>
        <v>73</v>
      </c>
      <c r="K22" s="674">
        <f xml:space="preserve"> 1 / ( ( 1 +  $K$17 ) ^ D22 )</f>
        <v>0.9238454260265142</v>
      </c>
      <c r="L22" s="26">
        <f xml:space="preserve"> ROUND( J22 * K22, L$2 )</f>
        <v>67.44</v>
      </c>
      <c r="M22" s="26">
        <f xml:space="preserve"> ROUND( SUM( L22:L$23 ), M$2 )</f>
        <v>115.44</v>
      </c>
      <c r="N22" s="771">
        <f xml:space="preserve"> ROUND( M22 / $L22, N$2 )</f>
        <v>1.71</v>
      </c>
      <c r="O22" s="765">
        <f xml:space="preserve"> IF( TRIM($A$20)&lt;&gt;"", O13, O84 )</f>
        <v>35</v>
      </c>
      <c r="P22" s="26">
        <f xml:space="preserve"> ROUND( L22 * O22, P$2 )</f>
        <v>2360.4</v>
      </c>
      <c r="Q22" s="26">
        <f xml:space="preserve"> ROUND( SUM( P22:P$23 ), Q$2 )</f>
        <v>5240.3999999999996</v>
      </c>
      <c r="R22" s="26">
        <f xml:space="preserve"> ROUND( Q22 / $L22, R$2 )</f>
        <v>77.7</v>
      </c>
      <c r="S22" s="771">
        <f xml:space="preserve"> ROUND( R22 / N22, S$2 )</f>
        <v>45.44</v>
      </c>
      <c r="T22" s="811">
        <f xml:space="preserve"> T13</f>
        <v>0.106</v>
      </c>
      <c r="U22" s="765">
        <f xml:space="preserve"> IF( TRIM($A$20)&lt;&gt;"", U13, U84 )</f>
        <v>1.5</v>
      </c>
      <c r="V22" s="26">
        <f xml:space="preserve"> ROUND(   (  12 * N22 * ( 1 - T22 )  )  /  (  12 * N22 * ( 1 - T22 )  -  U22  ),  V$2  )</f>
        <v>1.0900000000000001</v>
      </c>
      <c r="W22" s="813">
        <f xml:space="preserve"> W13</f>
        <v>0.14000000000000001</v>
      </c>
      <c r="X22" s="26">
        <f xml:space="preserve"> ROUND( $S$20 / ( 1 - T22 - W22 - $U$20 / ( 12 * $N$20 ) ),  X$2  )</f>
        <v>41.78</v>
      </c>
      <c r="Y22" s="771">
        <f xml:space="preserve"> ROUND( W22 * X22, Y$2 )</f>
        <v>5.85</v>
      </c>
      <c r="Z22" s="26">
        <f xml:space="preserve"> ROUND( S22 * V22 + ( V22 - 1 ) * Y22, Z$2 )</f>
        <v>50.06</v>
      </c>
      <c r="AA22" s="771">
        <f xml:space="preserve"> ROUND( ( Z22 + W22 * X22 ) / ( 1 - T22 ), AA$2 )</f>
        <v>62.54</v>
      </c>
      <c r="AB22" s="27">
        <f xml:space="preserve"> ROUND( AA22 / 12, AB$2 )</f>
        <v>5.21</v>
      </c>
      <c r="AS22" s="827" t="str">
        <f xml:space="preserve"> SUBSTITUTE( AS13, "vor", "nach" )</f>
        <v>I~^nachLim_1/3(i^alt;i^neu)</v>
      </c>
      <c r="AT22" s="828"/>
      <c r="AU22" s="828"/>
      <c r="AV22" s="295"/>
      <c r="AW22" s="836"/>
      <c r="AX22" s="836"/>
      <c r="AY22" s="836"/>
      <c r="AZ22" s="836"/>
      <c r="BA22" s="836" t="str">
        <f xml:space="preserve"> TEXT( BA13, "#.##0,00" ) &amp; " - " &amp; TEXT( BB21, "#.##0,00" ) &amp; " ="</f>
        <v>1,10 - 0,00 =</v>
      </c>
      <c r="BB22" s="838">
        <f xml:space="preserve"> BA13 - BB21</f>
        <v>1.1000000000000001</v>
      </c>
    </row>
    <row r="23" spans="1:54" x14ac:dyDescent="0.15">
      <c r="C23" s="1038"/>
      <c r="D23" s="32">
        <f xml:space="preserve"> D14</f>
        <v>5</v>
      </c>
      <c r="E23" s="32"/>
      <c r="F23" s="32"/>
      <c r="G23" s="766">
        <f t="shared" si="0"/>
        <v>1</v>
      </c>
      <c r="H23" s="766">
        <f t="shared" si="0"/>
        <v>0</v>
      </c>
      <c r="I23" s="739">
        <f xml:space="preserve"> MIN( 1, G23 + H23 )</f>
        <v>1</v>
      </c>
      <c r="J23" s="740">
        <f xml:space="preserve"> ROUND( J22 * ( 1 - I22), J$2 )</f>
        <v>53</v>
      </c>
      <c r="K23" s="741">
        <f xml:space="preserve"> 1 / ( ( 1 +  $K$17 ) ^ D23 )</f>
        <v>0.90573080982991594</v>
      </c>
      <c r="L23" s="41">
        <f xml:space="preserve"> ROUND( J23 * K23, L$2 )</f>
        <v>48</v>
      </c>
      <c r="M23" s="41">
        <f xml:space="preserve"> ROUND( SUM( L23:L$23 ), M$2 )</f>
        <v>48</v>
      </c>
      <c r="N23" s="772">
        <f xml:space="preserve"> ROUND( M23 / $L23, N$2 )</f>
        <v>1</v>
      </c>
      <c r="O23" s="766">
        <f xml:space="preserve"> IF( TRIM($A$20)&lt;&gt;"", O14, O85 )</f>
        <v>60</v>
      </c>
      <c r="P23" s="41">
        <f xml:space="preserve"> ROUND( L23 * O23, P$2 )</f>
        <v>2880</v>
      </c>
      <c r="Q23" s="41">
        <f xml:space="preserve"> ROUND( SUM( P23:P$23 ), Q$2 )</f>
        <v>2880</v>
      </c>
      <c r="R23" s="41">
        <f xml:space="preserve"> ROUND( Q23 / $L23, R$2 )</f>
        <v>60</v>
      </c>
      <c r="S23" s="772">
        <f xml:space="preserve"> ROUND( R23 / N23, S$2 )</f>
        <v>60</v>
      </c>
      <c r="T23" s="812">
        <f xml:space="preserve"> T14</f>
        <v>0.106</v>
      </c>
      <c r="U23" s="766">
        <f xml:space="preserve"> IF( TRIM($A$20)&lt;&gt;"", U14, U85 )</f>
        <v>0</v>
      </c>
      <c r="V23" s="41">
        <f xml:space="preserve"> ROUND(   (  12 * N23 * ( 1 - T23 )  )  /  (  12 * N23 * ( 1 - T23 )  -  U23  ),  V$2  )</f>
        <v>1</v>
      </c>
      <c r="W23" s="814">
        <f xml:space="preserve"> W14</f>
        <v>0.14000000000000001</v>
      </c>
      <c r="X23" s="41">
        <f xml:space="preserve"> ROUND( $S$20 / ( 1 - T23 - W23 - $U$20 / ( 12 * $N$20 ) ),  X$2  )</f>
        <v>41.78</v>
      </c>
      <c r="Y23" s="772">
        <f xml:space="preserve"> ROUND( W23 * X23, Y$2 )</f>
        <v>5.85</v>
      </c>
      <c r="Z23" s="41">
        <f xml:space="preserve"> ROUND( S23 * V23 + ( V23 - 1 ) * Y23, Z$2 )</f>
        <v>60</v>
      </c>
      <c r="AA23" s="772">
        <f xml:space="preserve"> ROUND( ( Z23 + W23 * X23 ) / ( 1 - T23 ), AA$2 )</f>
        <v>73.66</v>
      </c>
      <c r="AB23" s="42">
        <f xml:space="preserve"> ROUND( AA23 / 12, AB$2 )</f>
        <v>6.14</v>
      </c>
      <c r="AS23" s="831" t="str">
        <f xml:space="preserve"> SUBSTITUTE( AS14, "vor", "nach" )</f>
        <v>pI^nachLim_1/3(i^alt;i^neu)</v>
      </c>
      <c r="AT23" s="832"/>
      <c r="AU23" s="832"/>
      <c r="AV23" s="794"/>
      <c r="AW23" s="840"/>
      <c r="AX23" s="840"/>
      <c r="AY23" s="840"/>
      <c r="AZ23" s="840"/>
      <c r="BA23" s="840" t="str">
        <f xml:space="preserve"> TEXT( BB22, "#.##0,00" ) &amp; " / " &amp; TEXT( BA11, "#.##0,00" ) &amp; " ="</f>
        <v>1,10 / 2,34 =</v>
      </c>
      <c r="BB23" s="855">
        <f xml:space="preserve"> BB22 / BA11</f>
        <v>0.47008547008547014</v>
      </c>
    </row>
    <row r="24" spans="1:54" x14ac:dyDescent="0.15">
      <c r="AS24" s="11"/>
      <c r="AT24" s="12"/>
      <c r="AU24" s="12"/>
      <c r="AV24" s="12"/>
      <c r="AW24" s="12"/>
      <c r="AX24" s="12"/>
      <c r="AY24" s="12"/>
      <c r="AZ24" s="12"/>
      <c r="BA24" s="12"/>
      <c r="BB24" s="13"/>
    </row>
    <row r="25" spans="1:54" x14ac:dyDescent="0.15">
      <c r="C25" s="782"/>
      <c r="D25" s="783"/>
      <c r="E25" s="9"/>
      <c r="F25" s="9"/>
      <c r="G25" s="756" t="str">
        <f xml:space="preserve"> C10</f>
        <v>Tarif i (i^alt)</v>
      </c>
      <c r="H25" s="756"/>
      <c r="I25" s="756"/>
      <c r="J25" s="756"/>
      <c r="K25" s="757" t="s">
        <v>60</v>
      </c>
      <c r="L25" s="9"/>
      <c r="M25" s="773" t="str">
        <f xml:space="preserve"> C19</f>
        <v>Tarif j (i^neu)</v>
      </c>
      <c r="N25" s="773"/>
      <c r="O25" s="773"/>
      <c r="P25" s="773"/>
      <c r="Q25" s="773"/>
      <c r="R25" s="773"/>
      <c r="S25" s="774" t="s">
        <v>61</v>
      </c>
      <c r="AS25" s="853" t="str">
        <f xml:space="preserve"> SUBSTITUTE( AS9, "vor", "nach" )</f>
        <v>B~^nachLim_1/3(i^alt;i^neu)</v>
      </c>
      <c r="AT25" s="854"/>
      <c r="AU25" s="854"/>
      <c r="AV25" s="859"/>
      <c r="AW25" s="860"/>
      <c r="AX25" s="860"/>
      <c r="AY25" s="860"/>
      <c r="AZ25" s="860"/>
      <c r="BA25" s="860" t="str">
        <f xml:space="preserve"> IF( BB25=FEHLER, FEHLER, TEXT( BA11, "#.##0,00" ) &amp; " + " &amp; TEXT( BA13, "#.##0,00" ) &amp; " - " &amp; TEXT( BB21, "#.##0,00" ) &amp; " = " &amp; TEXT( BA9, "#.##0,00" ) &amp; " - " &amp; TEXT( BB21, "#.##0,00" ) &amp; " =" )</f>
        <v>2,34 + 1,10 - 0,00 = 3,44 - 0,00 =</v>
      </c>
      <c r="BB25" s="863">
        <f xml:space="preserve"> IF( BA9 - BB21 = BA11 + BA13 - BB21, BA9 - BB21, FEHLER )</f>
        <v>3.44</v>
      </c>
    </row>
    <row r="26" spans="1:54" x14ac:dyDescent="0.15">
      <c r="C26" s="784"/>
      <c r="D26" s="785"/>
      <c r="E26" s="12"/>
      <c r="F26" s="12"/>
      <c r="G26" s="758"/>
      <c r="H26" s="758"/>
      <c r="I26" s="758"/>
      <c r="J26" s="758"/>
      <c r="K26" s="758"/>
      <c r="L26" s="12"/>
      <c r="M26" s="775"/>
      <c r="N26" s="775"/>
      <c r="O26" s="1042" t="str">
        <f xml:space="preserve"> "1-" &amp; N27</f>
        <v>1-Δ_j/s</v>
      </c>
      <c r="P26" s="1044" t="s">
        <v>51</v>
      </c>
      <c r="Q26" s="775"/>
      <c r="R26" s="776"/>
      <c r="S26" s="777"/>
      <c r="AS26" s="861" t="str">
        <f xml:space="preserve"> SUBSTITUTE( AS21, "R~", "EB" )</f>
        <v>EB^Lim_1/3(i^alt;i^neu)</v>
      </c>
      <c r="AT26" s="862"/>
      <c r="AU26" s="862"/>
      <c r="AV26" s="794"/>
      <c r="AW26" s="839"/>
      <c r="AX26" s="839"/>
      <c r="AY26" s="839"/>
      <c r="AZ26" s="839"/>
      <c r="BA26" s="840" t="str">
        <f xml:space="preserve"> " 12 · " &amp; TEXT( M30, "#.##0,00") &amp; " · ( 1 - " &amp; TEXT( N30, "#.##0,0 %") &amp; " ) · " &amp; TEXT( BB21, "#.##0,00" ) &amp; " ="</f>
        <v xml:space="preserve"> 12 · 2,51 · ( 1 - 10,6 % ) · 0,00 =</v>
      </c>
      <c r="BB26" s="864">
        <f xml:space="preserve"> 12 * M30 * ( 1 - N30 ) * BB21</f>
        <v>0</v>
      </c>
    </row>
    <row r="27" spans="1:54" x14ac:dyDescent="0.15">
      <c r="C27" s="786"/>
      <c r="D27" s="787"/>
      <c r="E27" s="12"/>
      <c r="F27" s="12"/>
      <c r="G27" s="759" t="str">
        <f xml:space="preserve"> R8</f>
        <v>GA_x</v>
      </c>
      <c r="H27" s="760" t="str">
        <f xml:space="preserve"> Z6</f>
        <v>P^Z_x</v>
      </c>
      <c r="I27" s="759" t="str">
        <f xml:space="preserve"> N8</f>
        <v>a_x</v>
      </c>
      <c r="J27" s="759" t="str">
        <f xml:space="preserve"> "V_" &amp; D29 &amp; ";" &amp; D30</f>
        <v>V_1;3</v>
      </c>
      <c r="K27" s="760" t="str">
        <f xml:space="preserve"> AA6</f>
        <v>B^Z _x</v>
      </c>
      <c r="L27" s="12"/>
      <c r="M27" s="778" t="str">
        <f xml:space="preserve"> N8</f>
        <v>a_x</v>
      </c>
      <c r="N27" s="779" t="str">
        <f xml:space="preserve"> T6</f>
        <v>Δ_j/s</v>
      </c>
      <c r="O27" s="1043"/>
      <c r="P27" s="1045"/>
      <c r="Q27" s="778" t="str">
        <f xml:space="preserve"> S8</f>
        <v>P_x</v>
      </c>
      <c r="R27" s="780" t="str">
        <f xml:space="preserve"> Y6</f>
        <v>Γ _j/s</v>
      </c>
      <c r="S27" s="781" t="str">
        <f xml:space="preserve"> AA6</f>
        <v>B^Z _x</v>
      </c>
    </row>
    <row r="28" spans="1:54" x14ac:dyDescent="0.15">
      <c r="C28" s="11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3"/>
    </row>
    <row r="29" spans="1:54" x14ac:dyDescent="0.15">
      <c r="C29" s="254" t="s">
        <v>18</v>
      </c>
      <c r="D29" s="14">
        <v>1</v>
      </c>
      <c r="E29" s="12"/>
      <c r="F29" s="12"/>
      <c r="G29" s="260"/>
      <c r="H29" s="260">
        <f xml:space="preserve"> INDEX( $Z$10:$Z$14, MATCH( $D29, $D$10:$D$14, 0 ) )</f>
        <v>19.68</v>
      </c>
      <c r="I29" s="260"/>
      <c r="J29" s="295"/>
      <c r="K29" s="260">
        <f xml:space="preserve"> INDEX( $AA$10:$AA$14, MATCH( $D29, $D$10:$D$14, 0 ) )</f>
        <v>28.12</v>
      </c>
      <c r="L29" s="295"/>
      <c r="M29" s="295"/>
      <c r="N29" s="295"/>
      <c r="O29" s="295"/>
      <c r="P29" s="791"/>
      <c r="Q29" s="791"/>
      <c r="R29" s="791"/>
      <c r="S29" s="792"/>
    </row>
    <row r="30" spans="1:54" x14ac:dyDescent="0.15">
      <c r="C30" s="254" t="s">
        <v>19</v>
      </c>
      <c r="D30" s="14">
        <v>3</v>
      </c>
      <c r="E30" s="12"/>
      <c r="F30" s="12"/>
      <c r="G30" s="260">
        <f xml:space="preserve"> INDEX( $R$10:$R$14, MATCH( $D30, $D$10:$D$14, 0 ) )</f>
        <v>66.349999999999994</v>
      </c>
      <c r="H30" s="260"/>
      <c r="I30" s="260">
        <f xml:space="preserve"> INDEX( $N$10:$N$14, MATCH( $D30, $D$10:$D$14, 0 ) )</f>
        <v>2.4700000000000002</v>
      </c>
      <c r="J30" s="295"/>
      <c r="K30" s="295"/>
      <c r="L30" s="295"/>
      <c r="M30" s="260">
        <f xml:space="preserve"> INDEX( $N$19:$N$23, MATCH( $D30, $D$19:$D$23, 0 ) )</f>
        <v>2.5099999999999998</v>
      </c>
      <c r="N30" s="815">
        <f xml:space="preserve"> INDEX( $T$19:$T$23, MATCH( $D30, $D$19:$D$23, 0 ) )</f>
        <v>0.106</v>
      </c>
      <c r="O30" s="816">
        <f xml:space="preserve"> 1 - N30</f>
        <v>0.89400000000000002</v>
      </c>
      <c r="P30" s="765">
        <v>1</v>
      </c>
      <c r="Q30" s="260">
        <f xml:space="preserve"> INDEX( $S$19:$S$23, MATCH( $D30, $D$19:$D$23, 0 ) )</f>
        <v>36.119999999999997</v>
      </c>
      <c r="R30" s="260">
        <f xml:space="preserve"> INDEX( $Y$19:$Y$23, MATCH( $D30, $D$19:$D$23, 0 ) )</f>
        <v>7.43</v>
      </c>
      <c r="S30" s="796">
        <f xml:space="preserve"> INDEX( $AA$19:$AA$23, MATCH( $D30, $D$19:$D$23, 0 ) )</f>
        <v>55.05</v>
      </c>
    </row>
    <row r="31" spans="1:54" x14ac:dyDescent="0.15">
      <c r="C31" s="28"/>
      <c r="D31" s="32"/>
      <c r="E31" s="32"/>
      <c r="F31" s="32"/>
      <c r="G31" s="794"/>
      <c r="H31" s="794"/>
      <c r="I31" s="794"/>
      <c r="J31" s="795">
        <f xml:space="preserve"> ROUND( G30 - H29 * I30, I$2 )</f>
        <v>17.739999999999998</v>
      </c>
      <c r="K31" s="794"/>
      <c r="L31" s="794"/>
      <c r="M31" s="794"/>
      <c r="N31" s="794"/>
      <c r="O31" s="794"/>
      <c r="P31" s="793"/>
      <c r="Q31" s="794"/>
      <c r="R31" s="794"/>
      <c r="S31" s="797"/>
    </row>
    <row r="38" spans="3:15" x14ac:dyDescent="0.15">
      <c r="C38" s="788" t="str">
        <f xml:space="preserve"> "Beitrag nach Tarifänderung " &amp; G25 &amp; " --&gt; _" &amp; D29 &amp; ";" &amp; D30 &amp; " " &amp; M25</f>
        <v>Beitrag nach Tarifänderung Tarif i (i^alt) --&gt; _1;3 Tarif j (i^neu)</v>
      </c>
      <c r="D38" s="789"/>
      <c r="E38" s="789"/>
      <c r="F38" s="789"/>
      <c r="G38" s="789"/>
      <c r="H38" s="789"/>
      <c r="I38" s="789"/>
      <c r="J38" s="789"/>
      <c r="K38" s="789"/>
      <c r="L38" s="789"/>
      <c r="M38" s="789"/>
      <c r="N38" s="789"/>
      <c r="O38" s="790" t="s">
        <v>62</v>
      </c>
    </row>
    <row r="39" spans="3:15" x14ac:dyDescent="0.15">
      <c r="C39" s="11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3"/>
    </row>
    <row r="40" spans="3:15" x14ac:dyDescent="0.15">
      <c r="C40" s="798" t="s">
        <v>52</v>
      </c>
      <c r="D40" s="776"/>
      <c r="E40" s="776"/>
      <c r="F40" s="776" t="s">
        <v>165</v>
      </c>
      <c r="G40" s="776"/>
      <c r="H40" s="1021" t="str">
        <f xml:space="preserve"> "[ 12 · " &amp; TEXT( M30, "#.##0,00" ) &amp; "] / [ " &amp; "12 · " &amp; TEXT( M30, "#.##0,00" ) &amp; " · " &amp; TEXT( O30, "0,0 %" ) &amp; " - " &amp; TEXT( P30, "0,00" ) &amp; " ] ="</f>
        <v>[ 12 · 2,51] / [ 12 · 2,51 · 89,4 % - 1,00 ] =</v>
      </c>
      <c r="I40" s="1021"/>
      <c r="J40" s="1021"/>
      <c r="K40" s="1021"/>
      <c r="L40" s="1021"/>
      <c r="M40" s="1026"/>
      <c r="N40" s="12"/>
      <c r="O40" s="742">
        <f xml:space="preserve"> ROUND( ( 12 * M30 ) / ( 12 * M30 * O30 - P30 ), O$3 )</f>
        <v>1.1599999999999999</v>
      </c>
    </row>
    <row r="41" spans="3:15" x14ac:dyDescent="0.15">
      <c r="C41" s="11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3"/>
    </row>
    <row r="42" spans="3:15" x14ac:dyDescent="0.15">
      <c r="C42" s="784" t="s">
        <v>53</v>
      </c>
      <c r="D42" s="800"/>
      <c r="E42" s="800"/>
      <c r="F42" s="799" t="s">
        <v>168</v>
      </c>
      <c r="G42" s="776"/>
      <c r="H42" s="1021" t="str">
        <f xml:space="preserve"> TEXT( Q30, "#.##0,00" ) &amp; " ="</f>
        <v>36,12 =</v>
      </c>
      <c r="I42" s="1022"/>
      <c r="J42" s="1022"/>
      <c r="K42" s="1022"/>
      <c r="L42" s="1022"/>
      <c r="M42" s="1022"/>
      <c r="N42" s="361">
        <f xml:space="preserve"> Q30</f>
        <v>36.119999999999997</v>
      </c>
      <c r="O42" s="13"/>
    </row>
    <row r="43" spans="3:15" x14ac:dyDescent="0.15">
      <c r="C43" s="11"/>
      <c r="D43" s="12"/>
      <c r="E43" s="12"/>
      <c r="F43" s="785" t="s">
        <v>54</v>
      </c>
      <c r="G43" s="785"/>
      <c r="H43" s="1028" t="str">
        <f xml:space="preserve"> TEXT( J31, "#.##0,00" ) &amp; " / " &amp; TEXT( M30, "#.##0,00" ) &amp; " ="</f>
        <v>17,74 / 2,51 =</v>
      </c>
      <c r="I43" s="1022"/>
      <c r="J43" s="1022"/>
      <c r="K43" s="1022"/>
      <c r="L43" s="1022"/>
      <c r="M43" s="1022"/>
      <c r="N43" s="743">
        <f xml:space="preserve"> ROUND( J31 / M30, N$3 )</f>
        <v>7.07</v>
      </c>
      <c r="O43" s="13"/>
    </row>
    <row r="44" spans="3:15" x14ac:dyDescent="0.15">
      <c r="C44" s="11"/>
      <c r="D44" s="12"/>
      <c r="E44" s="12"/>
      <c r="F44" s="799" t="s">
        <v>55</v>
      </c>
      <c r="G44" s="776"/>
      <c r="H44" s="1021" t="str">
        <f xml:space="preserve"> TEXT( R30, "#.##0,00" ) &amp; " ="</f>
        <v>7,43 =</v>
      </c>
      <c r="I44" s="1022"/>
      <c r="J44" s="1022"/>
      <c r="K44" s="1022"/>
      <c r="L44" s="1022"/>
      <c r="M44" s="1022"/>
      <c r="N44" s="361">
        <f xml:space="preserve"> R30</f>
        <v>7.43</v>
      </c>
      <c r="O44" s="13"/>
    </row>
    <row r="45" spans="3:15" x14ac:dyDescent="0.15">
      <c r="C45" s="11"/>
      <c r="D45" s="12"/>
      <c r="E45" s="12"/>
      <c r="F45" s="785" t="s">
        <v>56</v>
      </c>
      <c r="G45" s="785"/>
      <c r="H45" s="1021" t="str">
        <f xml:space="preserve"> "( [ " &amp; TEXT( P30, "#.##0,00" ) &amp; " ] / [ " &amp; "12 · " &amp; TEXT( M30, "#.##0,00" ) &amp; " ] ) · " &amp; TEXT( K29, "#.##0,00" ) &amp; " ="</f>
        <v>( [ 1,00 ] / [ 12 · 2,51 ] ) · 28,12 =</v>
      </c>
      <c r="I45" s="1022"/>
      <c r="J45" s="1022"/>
      <c r="K45" s="1022"/>
      <c r="L45" s="1022"/>
      <c r="M45" s="1022"/>
      <c r="N45" s="361">
        <f xml:space="preserve"> ROUND( P30 / ( 12 * M30 ) * K29, N$3 )</f>
        <v>0.93</v>
      </c>
      <c r="O45" s="13"/>
    </row>
    <row r="46" spans="3:15" x14ac:dyDescent="0.15">
      <c r="C46" s="11"/>
      <c r="D46" s="12"/>
      <c r="E46" s="12"/>
      <c r="F46" s="12"/>
      <c r="G46" s="12"/>
      <c r="H46" s="1028" t="str">
        <f xml:space="preserve"> TEXT(N42,"#.##0,00") &amp; " - " &amp;TEXT(N43,"#.##0,00") &amp; " + " &amp; TEXT(N44,"#.##0,00") &amp; " - " &amp; TEXT(N45,"#.##0,00") &amp; " ="</f>
        <v>36,12 - 7,07 + 7,43 - 0,93 =</v>
      </c>
      <c r="I46" s="1026"/>
      <c r="J46" s="1026"/>
      <c r="K46" s="1026"/>
      <c r="L46" s="1026"/>
      <c r="M46" s="1026"/>
      <c r="N46" s="12"/>
      <c r="O46" s="744">
        <f xml:space="preserve"> ROUND( N42 - N43 + N44 - N45, O$3 )</f>
        <v>35.549999999999997</v>
      </c>
    </row>
    <row r="47" spans="3:15" x14ac:dyDescent="0.15">
      <c r="C47" s="11" t="s">
        <v>59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3"/>
    </row>
    <row r="48" spans="3:15" x14ac:dyDescent="0.15">
      <c r="C48" s="784" t="str">
        <f xml:space="preserve"> "B^quer_" &amp; $D$29 &amp; ";" &amp; $D$30 &amp; "(i;j)"</f>
        <v>B^quer_1;3(i;j)</v>
      </c>
      <c r="D48" s="785"/>
      <c r="E48" s="785"/>
      <c r="F48" s="785"/>
      <c r="G48" s="785"/>
      <c r="H48" s="1028" t="str">
        <f xml:space="preserve"> TEXT(O40,"#.##0,00") &amp; " · " &amp;TEXT(O46,"#.##0,00") &amp; " ="</f>
        <v>1,16 · 35,55 =</v>
      </c>
      <c r="I48" s="1022"/>
      <c r="J48" s="1022"/>
      <c r="K48" s="1022"/>
      <c r="L48" s="1022"/>
      <c r="M48" s="1022"/>
      <c r="N48" s="12"/>
      <c r="O48" s="13">
        <f xml:space="preserve"> ROUND( O40 * O46, O$3 )</f>
        <v>41.24</v>
      </c>
    </row>
    <row r="49" spans="3:15" x14ac:dyDescent="0.15">
      <c r="C49" s="804" t="str">
        <f xml:space="preserve"> "B_" &amp; $D$30 &amp; "(j)"</f>
        <v>B_3(j)</v>
      </c>
      <c r="D49" s="805"/>
      <c r="E49" s="805"/>
      <c r="F49" s="805"/>
      <c r="G49" s="805"/>
      <c r="H49" s="12"/>
      <c r="I49" s="12"/>
      <c r="J49" s="12"/>
      <c r="K49" s="12"/>
      <c r="L49" s="12"/>
      <c r="M49" s="246" t="s">
        <v>153</v>
      </c>
      <c r="N49" s="12">
        <f xml:space="preserve"> INDEX( AA19:AA23, MATCH( D30, $D$19:$D$23, 0 ) )</f>
        <v>55.05</v>
      </c>
      <c r="O49" s="13"/>
    </row>
    <row r="50" spans="3:15" x14ac:dyDescent="0.15">
      <c r="C50" s="806" t="str">
        <f xml:space="preserve"> "B_" &amp; $D$29 &amp; ";" &amp; $D$30 &amp; "(i;j)"</f>
        <v>B_1;3(i;j)</v>
      </c>
      <c r="D50" s="807"/>
      <c r="E50" s="807"/>
      <c r="F50" s="807" t="s">
        <v>166</v>
      </c>
      <c r="G50" s="807"/>
      <c r="H50" s="12"/>
      <c r="I50" s="12"/>
      <c r="J50" s="12"/>
      <c r="K50" s="12"/>
      <c r="L50" s="12"/>
      <c r="M50" s="12"/>
      <c r="N50" s="12"/>
      <c r="O50" s="745">
        <f xml:space="preserve"> MIN( N49, O48 )</f>
        <v>41.24</v>
      </c>
    </row>
    <row r="51" spans="3:15" x14ac:dyDescent="0.15">
      <c r="C51" s="806" t="str">
        <f xml:space="preserve"> SUBSTITUTE( C50, "B", "B~" )</f>
        <v>B~_1;3(i;j)</v>
      </c>
      <c r="D51" s="807"/>
      <c r="E51" s="807"/>
      <c r="F51" s="807" t="s">
        <v>167</v>
      </c>
      <c r="G51" s="807"/>
      <c r="H51" s="1026" t="str">
        <f xml:space="preserve"> TEXT( O50, "#.##0,00") &amp; " / 12 ="</f>
        <v>41,24 / 12 =</v>
      </c>
      <c r="I51" s="1022"/>
      <c r="J51" s="1022"/>
      <c r="K51" s="1022"/>
      <c r="L51" s="1022"/>
      <c r="M51" s="1022"/>
      <c r="N51" s="12"/>
      <c r="O51" s="297">
        <f xml:space="preserve"> ROUND( O50 / 12, O3 )</f>
        <v>3.44</v>
      </c>
    </row>
    <row r="52" spans="3:15" x14ac:dyDescent="0.15">
      <c r="C52" s="11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3"/>
    </row>
    <row r="53" spans="3:15" x14ac:dyDescent="0.15">
      <c r="C53" s="28" t="str">
        <f xml:space="preserve"> "Mehrbeitrag bzgl. " &amp; C54</f>
        <v>Mehrbeitrag bzgl. B~^Z _1(i)</v>
      </c>
      <c r="D53" s="32"/>
      <c r="E53" s="32"/>
      <c r="F53" s="32"/>
      <c r="G53" s="32"/>
      <c r="H53" s="12"/>
      <c r="I53" s="32" t="str">
        <f xml:space="preserve"> "Zuschlag bzgl. " &amp; I54</f>
        <v>Zuschlag bzgl. B~^Z _1(j)</v>
      </c>
      <c r="J53" s="32"/>
      <c r="K53" s="32"/>
      <c r="L53" s="32"/>
      <c r="M53" s="32"/>
      <c r="N53" s="12"/>
      <c r="O53" s="13"/>
    </row>
    <row r="54" spans="3:15" x14ac:dyDescent="0.15">
      <c r="C54" s="801" t="str">
        <f xml:space="preserve"> SUBSTITUTE( SUBSTITUTE( $AA$6, "x", $D$29) &amp; "(i)", "B", "B~" )</f>
        <v>B~^Z _1(i)</v>
      </c>
      <c r="D54" s="802"/>
      <c r="E54" s="12"/>
      <c r="F54" s="12"/>
      <c r="G54" s="26">
        <f xml:space="preserve"> INDEX( $AB$10:$AB$14, MATCH( $D29, $D$10:$D$14, 0 ) )</f>
        <v>2.34</v>
      </c>
      <c r="H54" s="12"/>
      <c r="I54" s="803" t="str">
        <f xml:space="preserve"> SUBSTITUTE( SUBSTITUTE( $S$27, "x", $D$29) &amp; "(j)", "B", "B~" )</f>
        <v>B~^Z _1(j)</v>
      </c>
      <c r="J54" s="803"/>
      <c r="K54" s="12"/>
      <c r="L54" s="12"/>
      <c r="M54" s="26">
        <f xml:space="preserve"> INDEX( $AB$19:$AB$23, MATCH( $D29, $D$10:$D$14, 0 ) )</f>
        <v>3.14</v>
      </c>
      <c r="N54" s="12"/>
      <c r="O54" s="13"/>
    </row>
    <row r="55" spans="3:15" x14ac:dyDescent="0.15">
      <c r="C55" s="784" t="str">
        <f xml:space="preserve"> "I~_" &amp; $D$29 &amp; ";" &amp; $D$30 &amp; "(i;j)"</f>
        <v>I~_1;3(i;j)</v>
      </c>
      <c r="D55" s="785"/>
      <c r="E55" s="1026" t="str">
        <f xml:space="preserve"> TEXT(O51,"#.##0,00") &amp; " - " &amp; TEXT(G54,"#.##0,00") &amp; " ="</f>
        <v>3,44 - 2,34 =</v>
      </c>
      <c r="F55" s="1026"/>
      <c r="G55" s="16">
        <f xml:space="preserve"> O51 - G54</f>
        <v>1.1000000000000001</v>
      </c>
      <c r="H55" s="12"/>
      <c r="I55" s="785" t="str">
        <f xml:space="preserve"> "J~_" &amp; $D$29 &amp; ";" &amp; $D$30 &amp; "(i;j)"</f>
        <v>J~_1;3(i;j)</v>
      </c>
      <c r="J55" s="785"/>
      <c r="K55" s="1026" t="str">
        <f xml:space="preserve"> TEXT(O51,"#.##0,00") &amp; " - " &amp; TEXT(M54,"#.##0,00") &amp; " ="</f>
        <v>3,44 - 3,14 =</v>
      </c>
      <c r="L55" s="1026"/>
      <c r="M55" s="16">
        <f xml:space="preserve"> O51 - M54</f>
        <v>0.29999999999999982</v>
      </c>
      <c r="N55" s="12"/>
      <c r="O55" s="13"/>
    </row>
    <row r="56" spans="3:15" x14ac:dyDescent="0.15">
      <c r="C56" s="11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3"/>
    </row>
    <row r="57" spans="3:15" x14ac:dyDescent="0.15">
      <c r="C57" s="11"/>
      <c r="D57" s="12"/>
      <c r="E57" s="12"/>
      <c r="F57" s="12"/>
      <c r="G57" s="12"/>
      <c r="H57" s="12"/>
      <c r="I57" s="32" t="str">
        <f xml:space="preserve"> "Abschlag bzgl. " &amp; I58</f>
        <v>Abschlag bzgl. B~^Z _3(j)</v>
      </c>
      <c r="J57" s="32"/>
      <c r="K57" s="32"/>
      <c r="L57" s="32"/>
      <c r="M57" s="32"/>
      <c r="N57" s="12"/>
      <c r="O57" s="13"/>
    </row>
    <row r="58" spans="3:15" x14ac:dyDescent="0.15">
      <c r="C58" s="11"/>
      <c r="D58" s="12"/>
      <c r="E58" s="12"/>
      <c r="F58" s="12"/>
      <c r="G58" s="12"/>
      <c r="H58" s="12"/>
      <c r="I58" s="803" t="str">
        <f xml:space="preserve"> SUBSTITUTE( SUBSTITUTE( $S$27, "x", $D$30) &amp; "(j)", "B", "B~" )</f>
        <v>B~^Z _3(j)</v>
      </c>
      <c r="J58" s="803"/>
      <c r="K58" s="12"/>
      <c r="L58" s="12"/>
      <c r="M58" s="26">
        <f xml:space="preserve"> ROUND( S30 / 12, N3)</f>
        <v>4.59</v>
      </c>
      <c r="N58" s="12"/>
      <c r="O58" s="13"/>
    </row>
    <row r="59" spans="3:15" x14ac:dyDescent="0.15">
      <c r="C59" s="28"/>
      <c r="D59" s="32"/>
      <c r="E59" s="32"/>
      <c r="F59" s="32"/>
      <c r="G59" s="32"/>
      <c r="H59" s="32"/>
      <c r="I59" s="787" t="str">
        <f xml:space="preserve"> "H~_" &amp; $D$29 &amp; ";" &amp; $D$30 &amp; "(i;j)"</f>
        <v>H~_1;3(i;j)</v>
      </c>
      <c r="J59" s="787"/>
      <c r="K59" s="1027" t="str">
        <f xml:space="preserve"> TEXT(M58,"#.##0,00") &amp; " - " &amp; TEXT(O51,"#.##0,00") &amp; " ="</f>
        <v>4,59 - 3,44 =</v>
      </c>
      <c r="L59" s="1027"/>
      <c r="M59" s="746">
        <f xml:space="preserve"> M58 - O51</f>
        <v>1.1499999999999999</v>
      </c>
      <c r="N59" s="32"/>
      <c r="O59" s="303"/>
    </row>
    <row r="67" spans="11:11" ht="15.75" customHeight="1" x14ac:dyDescent="0.15"/>
    <row r="69" spans="11:11" ht="15.75" customHeight="1" x14ac:dyDescent="0.15"/>
    <row r="79" spans="11:11" x14ac:dyDescent="0.15">
      <c r="K79" s="755">
        <v>0.02</v>
      </c>
    </row>
    <row r="81" spans="3:21" x14ac:dyDescent="0.15">
      <c r="C81" s="751" t="s">
        <v>64</v>
      </c>
      <c r="G81" s="752">
        <v>0.01</v>
      </c>
      <c r="H81" s="752">
        <v>0.09</v>
      </c>
      <c r="N81" s="753"/>
      <c r="O81" s="754">
        <v>11</v>
      </c>
      <c r="U81" s="752">
        <v>3</v>
      </c>
    </row>
    <row r="82" spans="3:21" x14ac:dyDescent="0.15">
      <c r="G82" s="752">
        <v>0.02</v>
      </c>
      <c r="H82" s="752">
        <v>0.08</v>
      </c>
      <c r="N82" s="753"/>
      <c r="O82" s="754">
        <v>11</v>
      </c>
      <c r="U82" s="752">
        <v>3</v>
      </c>
    </row>
    <row r="83" spans="3:21" x14ac:dyDescent="0.15">
      <c r="G83" s="752">
        <v>0.03</v>
      </c>
      <c r="H83" s="752">
        <v>7.0000000000000007E-2</v>
      </c>
      <c r="N83" s="753"/>
      <c r="O83" s="754">
        <v>22</v>
      </c>
      <c r="U83" s="752">
        <v>3</v>
      </c>
    </row>
    <row r="84" spans="3:21" x14ac:dyDescent="0.15">
      <c r="G84" s="752">
        <v>0.25</v>
      </c>
      <c r="H84" s="752">
        <v>0.02</v>
      </c>
      <c r="N84" s="753"/>
      <c r="O84" s="754">
        <v>35</v>
      </c>
      <c r="U84" s="752">
        <v>1.5</v>
      </c>
    </row>
    <row r="85" spans="3:21" x14ac:dyDescent="0.15">
      <c r="G85" s="752">
        <v>1</v>
      </c>
      <c r="H85" s="752">
        <v>0</v>
      </c>
      <c r="N85" s="753"/>
      <c r="O85" s="754">
        <v>60</v>
      </c>
      <c r="U85" s="752">
        <v>0</v>
      </c>
    </row>
  </sheetData>
  <mergeCells count="35">
    <mergeCell ref="AM12:AM13"/>
    <mergeCell ref="AL12:AL13"/>
    <mergeCell ref="AK12:AK13"/>
    <mergeCell ref="AI12:AI13"/>
    <mergeCell ref="AN11:AN13"/>
    <mergeCell ref="AB6:AB8"/>
    <mergeCell ref="C19:C23"/>
    <mergeCell ref="AY13:AZ13"/>
    <mergeCell ref="AY14:AZ14"/>
    <mergeCell ref="H40:M40"/>
    <mergeCell ref="AH12:AH13"/>
    <mergeCell ref="C10:C14"/>
    <mergeCell ref="O26:O27"/>
    <mergeCell ref="P26:P27"/>
    <mergeCell ref="AO11:AP13"/>
    <mergeCell ref="H44:M44"/>
    <mergeCell ref="AE7:AG9"/>
    <mergeCell ref="U6:U8"/>
    <mergeCell ref="V6:V8"/>
    <mergeCell ref="AG12:AG13"/>
    <mergeCell ref="W6:W8"/>
    <mergeCell ref="X6:X8"/>
    <mergeCell ref="Z6:Z8"/>
    <mergeCell ref="AA6:AA8"/>
    <mergeCell ref="Y6:Y8"/>
    <mergeCell ref="H42:M42"/>
    <mergeCell ref="T6:T8"/>
    <mergeCell ref="K55:L55"/>
    <mergeCell ref="K59:L59"/>
    <mergeCell ref="E55:F55"/>
    <mergeCell ref="H45:M45"/>
    <mergeCell ref="H46:M46"/>
    <mergeCell ref="H48:M48"/>
    <mergeCell ref="H51:M51"/>
    <mergeCell ref="H43:M43"/>
  </mergeCells>
  <phoneticPr fontId="2" type="noConversion"/>
  <pageMargins left="0.78740157499999996" right="0.78740157499999996" top="0.984251969" bottom="0.984251969" header="0.4921259845" footer="0.4921259845"/>
  <pageSetup paperSize="9" orientation="portrait"/>
  <ignoredErrors>
    <ignoredError sqref="I19" formula="1"/>
  </ignoredErrors>
  <drawing r:id="rId1"/>
  <legacyDrawing r:id="rId2"/>
  <oleObjects>
    <mc:AlternateContent xmlns:mc="http://schemas.openxmlformats.org/markup-compatibility/2006">
      <mc:Choice Requires="x14">
        <oleObject progId="Equation.3" shapeId="2760" r:id="rId3">
          <objectPr defaultSize="0" autoPict="0" r:id="rId4">
            <anchor moveWithCells="1" sizeWithCells="1">
              <from>
                <xdr:col>1</xdr:col>
                <xdr:colOff>774700</xdr:colOff>
                <xdr:row>33</xdr:row>
                <xdr:rowOff>50800</xdr:rowOff>
              </from>
              <to>
                <xdr:col>15</xdr:col>
                <xdr:colOff>533400</xdr:colOff>
                <xdr:row>36</xdr:row>
                <xdr:rowOff>12700</xdr:rowOff>
              </to>
            </anchor>
          </objectPr>
        </oleObject>
      </mc:Choice>
      <mc:Fallback>
        <oleObject progId="Equation.3" shapeId="2760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EING</vt:lpstr>
      <vt:lpstr>sx</vt:lpstr>
      <vt:lpstr>Kx</vt:lpstr>
      <vt:lpstr>Bx</vt:lpstr>
      <vt:lpstr>BtrgAuftelung</vt:lpstr>
      <vt:lpstr>AR</vt:lpstr>
      <vt:lpstr>wx_AR</vt:lpstr>
      <vt:lpstr>AF</vt:lpstr>
      <vt:lpstr>TÄ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Lohengrin</dc:creator>
  <cp:lastModifiedBy>Matthias Barth</cp:lastModifiedBy>
  <cp:lastPrinted>2015-06-29T20:11:20Z</cp:lastPrinted>
  <dcterms:created xsi:type="dcterms:W3CDTF">2013-05-28T16:29:15Z</dcterms:created>
  <dcterms:modified xsi:type="dcterms:W3CDTF">2017-07-11T14:43:17Z</dcterms:modified>
</cp:coreProperties>
</file>